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wvl\LO_MM\BE\VANG-HHA\5) Communicatie\website VANG-HHA\VANG Kenniswijzer documenten\3. Geplaatste documenten\Al opgenomen in de Kennisbibliotheek\Onderzoek\"/>
    </mc:Choice>
  </mc:AlternateContent>
  <bookViews>
    <workbookView xWindow="-28905" yWindow="45" windowWidth="29025" windowHeight="15825" activeTab="2"/>
  </bookViews>
  <sheets>
    <sheet name="Kenttallen gemeente" sheetId="53" r:id="rId1"/>
    <sheet name="Impact - vervuiling" sheetId="58" r:id="rId2"/>
    <sheet name="Impact op kosten gemeente" sheetId="57" r:id="rId3"/>
    <sheet name="Impact - aandeel verbrand" sheetId="36" r:id="rId4"/>
    <sheet name="Berekeningen impact vervuiling" sheetId="35" r:id="rId5"/>
  </sheets>
  <externalReferences>
    <externalReference r:id="rId6"/>
  </externalReferences>
  <definedNames>
    <definedName name="__123Graph_A" hidden="1">'[1]INVOER RESTAFVAL'!#REF!</definedName>
    <definedName name="__123Graph_B" hidden="1">'[1]INVOER RESTAFVAL'!#REF!</definedName>
    <definedName name="__123Graph_LBL_A" hidden="1">'[1]INVOER RESTAFVAL'!#REF!</definedName>
    <definedName name="__123Graph_X" hidden="1">'[1]INVOER RESTAFVAL'!#REF!</definedName>
    <definedName name="_TOV1">'[1]INVOER RESTAFVAL'!#REF!</definedName>
    <definedName name="_TOV10">'[1]INVOER RESTAFVAL'!#REF!</definedName>
    <definedName name="_TOV2">'[1]INVOER RESTAFVAL'!#REF!</definedName>
    <definedName name="_TOV3">'[1]INVOER RESTAFVAL'!#REF!</definedName>
    <definedName name="_TOV4">'[1]INVOER RESTAFVAL'!#REF!</definedName>
    <definedName name="_TOV5">'[1]INVOER RESTAFVAL'!#REF!</definedName>
    <definedName name="_TOV6">'[1]INVOER RESTAFVAL'!#REF!</definedName>
    <definedName name="_TOV7">'[1]INVOER RESTAFVAL'!#REF!</definedName>
    <definedName name="_TOV8">'[1]INVOER RESTAFVAL'!#REF!</definedName>
    <definedName name="_TOV9">'[1]INVOER RESTAFVAL'!#REF!</definedName>
    <definedName name="Geslotenzakken">#REF!</definedName>
    <definedName name="Glas">#REF!</definedName>
    <definedName name="Glossy">#REF!</definedName>
    <definedName name="Herkomstgfttransport">#REF!</definedName>
    <definedName name="Hout">#REF!</definedName>
    <definedName name="Kadaver">#REF!</definedName>
    <definedName name="KCA">#REF!</definedName>
    <definedName name="Keramiek">#REF!</definedName>
    <definedName name="Kunststoffolies">#REF!</definedName>
    <definedName name="Kwartaal">#REF!</definedName>
    <definedName name="Luiers">#REF!</definedName>
    <definedName name="Metalen">#REF!</definedName>
    <definedName name="Motief">#REF!</definedName>
    <definedName name="Overig">#REF!</definedName>
    <definedName name="Overigekunststoffen">#REF!</definedName>
    <definedName name="Restafvalgeslotenzakken">#REF!</definedName>
    <definedName name="Rubber">#REF!</definedName>
    <definedName name="Stedelijkheidsklasse">#REF!</definedName>
    <definedName name="Steen">#REF!</definedName>
    <definedName name="TBIJZ">'[1]INVOER RESTAFVAL'!#REF!</definedName>
    <definedName name="TBROOD">'[1]INVOER RESTAFVAL'!#REF!</definedName>
    <definedName name="TDIER">'[1]INVOER RESTAFVAL'!#REF!</definedName>
    <definedName name="Textielenleer">#REF!</definedName>
    <definedName name="TFERRO">'[1]INVOER RESTAFVAL'!#REF!</definedName>
    <definedName name="TGESORT">'[1]INVOER RESTAFVAL'!#REF!</definedName>
    <definedName name="TGLAS">'[1]INVOER RESTAFVAL'!#REF!</definedName>
    <definedName name="THOUT">'[1]INVOER RESTAFVAL'!#REF!</definedName>
    <definedName name="TINWEEG">'[1]INVOER RESTAFVAL'!#REF!</definedName>
    <definedName name="TKCA">'[1]INVOER RESTAFVAL'!#REF!</definedName>
    <definedName name="TKERAM">'[1]INVOER RESTAFVAL'!#REF!</definedName>
    <definedName name="TKLACHT">'[1]INVOER RESTAFVAL'!#REF!</definedName>
    <definedName name="TKUNSTST">'[1]INVOER RESTAFVAL'!#REF!</definedName>
    <definedName name="TLEER">'[1]INVOER RESTAFVAL'!#REF!</definedName>
    <definedName name="TNFERRO">'[1]INVOER RESTAFVAL'!#REF!</definedName>
    <definedName name="TPAPIER">'[1]INVOER RESTAFVAL'!#REF!</definedName>
    <definedName name="TTAPIJT">'[1]INVOER RESTAFVAL'!#REF!</definedName>
    <definedName name="TTEXTIEL">'[1]INVOER RESTAFVAL'!#REF!</definedName>
    <definedName name="Vervuil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35" l="1"/>
  <c r="C29" i="35" s="1"/>
  <c r="B30" i="35"/>
  <c r="C30" i="35"/>
  <c r="D30" i="35"/>
  <c r="E30" i="35" s="1"/>
  <c r="F30" i="35" s="1"/>
  <c r="G30" i="35" s="1"/>
  <c r="H30" i="35" s="1"/>
  <c r="I30" i="35" s="1"/>
  <c r="J30" i="35" s="1"/>
  <c r="K30" i="35" s="1"/>
  <c r="L30" i="35" s="1"/>
  <c r="M30" i="35" s="1"/>
  <c r="N30" i="35" s="1"/>
  <c r="O30" i="35" s="1"/>
  <c r="P30" i="35" s="1"/>
  <c r="Q30" i="35" s="1"/>
  <c r="R30" i="35" s="1"/>
  <c r="S30" i="35" s="1"/>
  <c r="T30" i="35" s="1"/>
  <c r="U30" i="35" s="1"/>
  <c r="V30" i="35" s="1"/>
  <c r="W30" i="35" s="1"/>
  <c r="X30" i="35" s="1"/>
  <c r="Y30" i="35" s="1"/>
  <c r="Z30" i="35" s="1"/>
  <c r="AA30" i="35" s="1"/>
  <c r="AB30" i="35" s="1"/>
  <c r="AC30" i="35" s="1"/>
  <c r="AD30" i="35" s="1"/>
  <c r="AE30" i="35" s="1"/>
  <c r="AF30" i="35" s="1"/>
  <c r="AG30" i="35" s="1"/>
  <c r="AH30" i="35" s="1"/>
  <c r="AI30" i="35" s="1"/>
  <c r="AJ30" i="35" s="1"/>
  <c r="AK30" i="35" s="1"/>
  <c r="AL30" i="35" s="1"/>
  <c r="AM30" i="35" s="1"/>
  <c r="AN30" i="35" s="1"/>
  <c r="AO30" i="35" s="1"/>
  <c r="AP30" i="35" s="1"/>
  <c r="AQ30" i="35" s="1"/>
  <c r="AR30" i="35" s="1"/>
  <c r="AS30" i="35" s="1"/>
  <c r="AT30" i="35" s="1"/>
  <c r="AU30" i="35" s="1"/>
  <c r="AV30" i="35" s="1"/>
  <c r="AW30" i="35" s="1"/>
  <c r="AX30" i="35" s="1"/>
  <c r="AY30" i="35" s="1"/>
  <c r="AZ30" i="35" s="1"/>
  <c r="BA30" i="35" s="1"/>
  <c r="BB30" i="35" s="1"/>
  <c r="BC30" i="35" s="1"/>
  <c r="BD30" i="35" s="1"/>
  <c r="BE30" i="35" s="1"/>
  <c r="BF30" i="35" s="1"/>
  <c r="BG30" i="35" s="1"/>
  <c r="BH30" i="35" s="1"/>
  <c r="BI30" i="35" s="1"/>
  <c r="BJ30" i="35" s="1"/>
  <c r="B25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R25" i="35"/>
  <c r="S25" i="35"/>
  <c r="T25" i="35"/>
  <c r="U25" i="35"/>
  <c r="V25" i="35"/>
  <c r="W25" i="35"/>
  <c r="X25" i="35"/>
  <c r="Y25" i="35"/>
  <c r="Z25" i="35"/>
  <c r="AA25" i="35"/>
  <c r="AB25" i="35"/>
  <c r="AC25" i="35"/>
  <c r="AD25" i="35"/>
  <c r="AE25" i="35"/>
  <c r="AF25" i="35"/>
  <c r="AG25" i="35"/>
  <c r="AH25" i="35"/>
  <c r="AI25" i="35"/>
  <c r="AJ25" i="35"/>
  <c r="AK25" i="35"/>
  <c r="AL25" i="35"/>
  <c r="AM25" i="35"/>
  <c r="AN25" i="35"/>
  <c r="AO25" i="35"/>
  <c r="AP25" i="35"/>
  <c r="AQ25" i="35"/>
  <c r="AR25" i="35"/>
  <c r="AS25" i="35"/>
  <c r="AT25" i="35"/>
  <c r="AU25" i="35"/>
  <c r="AV25" i="35"/>
  <c r="AW25" i="35"/>
  <c r="AX25" i="35"/>
  <c r="AY25" i="35"/>
  <c r="AZ25" i="35"/>
  <c r="BA25" i="35"/>
  <c r="BB25" i="35"/>
  <c r="BC25" i="35"/>
  <c r="BD25" i="35"/>
  <c r="BE25" i="35"/>
  <c r="BF25" i="35"/>
  <c r="BG25" i="35"/>
  <c r="BH25" i="35"/>
  <c r="BI25" i="35"/>
  <c r="BJ25" i="35"/>
  <c r="B26" i="35"/>
  <c r="C26" i="35" s="1"/>
  <c r="D29" i="35" l="1"/>
  <c r="D26" i="35"/>
  <c r="C4" i="58"/>
  <c r="D4" i="58" s="1"/>
  <c r="E4" i="58" s="1"/>
  <c r="E29" i="35" l="1"/>
  <c r="E26" i="35"/>
  <c r="C3" i="58"/>
  <c r="B3" i="58" s="1"/>
  <c r="C2" i="58"/>
  <c r="C15" i="35"/>
  <c r="D15" i="35" s="1"/>
  <c r="F29" i="35" l="1"/>
  <c r="F26" i="35"/>
  <c r="B6" i="58"/>
  <c r="D2" i="58"/>
  <c r="E2" i="58" s="1"/>
  <c r="B2" i="58"/>
  <c r="D3" i="58"/>
  <c r="D6" i="58" s="1"/>
  <c r="C6" i="58"/>
  <c r="E3" i="58"/>
  <c r="E6" i="58" s="1"/>
  <c r="C11" i="58"/>
  <c r="B11" i="58" s="1"/>
  <c r="C12" i="58"/>
  <c r="C12" i="35"/>
  <c r="D12" i="35" s="1"/>
  <c r="B9" i="35"/>
  <c r="G29" i="35" l="1"/>
  <c r="H27" i="35"/>
  <c r="P27" i="35"/>
  <c r="X27" i="35"/>
  <c r="AF27" i="35"/>
  <c r="AN27" i="35"/>
  <c r="AV27" i="35"/>
  <c r="BD27" i="35"/>
  <c r="T27" i="35"/>
  <c r="I27" i="35"/>
  <c r="Q27" i="35"/>
  <c r="Y27" i="35"/>
  <c r="AG27" i="35"/>
  <c r="AO27" i="35"/>
  <c r="AW27" i="35"/>
  <c r="BE27" i="35"/>
  <c r="AB27" i="35"/>
  <c r="BH27" i="35"/>
  <c r="B27" i="35"/>
  <c r="B28" i="35" s="1"/>
  <c r="B31" i="35" s="1"/>
  <c r="J27" i="35"/>
  <c r="R27" i="35"/>
  <c r="Z27" i="35"/>
  <c r="AH27" i="35"/>
  <c r="AP27" i="35"/>
  <c r="AX27" i="35"/>
  <c r="BF27" i="35"/>
  <c r="AJ27" i="35"/>
  <c r="AZ27" i="35"/>
  <c r="C27" i="35"/>
  <c r="C28" i="35" s="1"/>
  <c r="C31" i="35" s="1"/>
  <c r="K27" i="35"/>
  <c r="S27" i="35"/>
  <c r="AA27" i="35"/>
  <c r="AI27" i="35"/>
  <c r="AQ27" i="35"/>
  <c r="AY27" i="35"/>
  <c r="BG27" i="35"/>
  <c r="D27" i="35"/>
  <c r="D28" i="35" s="1"/>
  <c r="D31" i="35" s="1"/>
  <c r="L27" i="35"/>
  <c r="AR27" i="35"/>
  <c r="E27" i="35"/>
  <c r="E28" i="35" s="1"/>
  <c r="E31" i="35" s="1"/>
  <c r="M27" i="35"/>
  <c r="U27" i="35"/>
  <c r="AC27" i="35"/>
  <c r="AK27" i="35"/>
  <c r="AS27" i="35"/>
  <c r="BA27" i="35"/>
  <c r="BI27" i="35"/>
  <c r="F27" i="35"/>
  <c r="F28" i="35" s="1"/>
  <c r="F31" i="35" s="1"/>
  <c r="N27" i="35"/>
  <c r="V27" i="35"/>
  <c r="AD27" i="35"/>
  <c r="AL27" i="35"/>
  <c r="AT27" i="35"/>
  <c r="BB27" i="35"/>
  <c r="BJ27" i="35"/>
  <c r="G27" i="35"/>
  <c r="O27" i="35"/>
  <c r="W27" i="35"/>
  <c r="AE27" i="35"/>
  <c r="AM27" i="35"/>
  <c r="AU27" i="35"/>
  <c r="BC27" i="35"/>
  <c r="G26" i="35"/>
  <c r="B5" i="58"/>
  <c r="B7" i="58" s="1"/>
  <c r="B14" i="58" s="1"/>
  <c r="D12" i="58"/>
  <c r="B12" i="58"/>
  <c r="D11" i="58"/>
  <c r="G31" i="35" l="1"/>
  <c r="H29" i="35"/>
  <c r="G28" i="35"/>
  <c r="H26" i="35"/>
  <c r="B16" i="58"/>
  <c r="E11" i="58"/>
  <c r="E12" i="58"/>
  <c r="B8" i="58"/>
  <c r="E5" i="58"/>
  <c r="E7" i="58" s="1"/>
  <c r="I29" i="35" l="1"/>
  <c r="I26" i="35"/>
  <c r="H28" i="35"/>
  <c r="H31" i="35" s="1"/>
  <c r="B13" i="58"/>
  <c r="B15" i="58"/>
  <c r="B19" i="58" s="1"/>
  <c r="E16" i="58"/>
  <c r="E14" i="58"/>
  <c r="B17" i="58"/>
  <c r="B18" i="58" s="1"/>
  <c r="E8" i="58"/>
  <c r="D5" i="58"/>
  <c r="D7" i="58" s="1"/>
  <c r="C5" i="58"/>
  <c r="C7" i="58" s="1"/>
  <c r="BJ21" i="35"/>
  <c r="BI21" i="35"/>
  <c r="BH21" i="35"/>
  <c r="BG21" i="35"/>
  <c r="BF21" i="35"/>
  <c r="BE21" i="35"/>
  <c r="BD21" i="35"/>
  <c r="BC21" i="35"/>
  <c r="BB21" i="35"/>
  <c r="BA21" i="35"/>
  <c r="AZ21" i="35"/>
  <c r="AY21" i="35"/>
  <c r="AX21" i="35"/>
  <c r="AW21" i="35"/>
  <c r="AV21" i="35"/>
  <c r="AU21" i="35"/>
  <c r="AT21" i="35"/>
  <c r="AS21" i="35"/>
  <c r="AR21" i="35"/>
  <c r="AQ21" i="35"/>
  <c r="AP21" i="35"/>
  <c r="AO21" i="35"/>
  <c r="AN21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J29" i="35" l="1"/>
  <c r="J26" i="35"/>
  <c r="I28" i="35"/>
  <c r="I31" i="35" s="1"/>
  <c r="E13" i="58"/>
  <c r="E15" i="58"/>
  <c r="E19" i="58" s="1"/>
  <c r="E17" i="58"/>
  <c r="E18" i="58" s="1"/>
  <c r="C14" i="58"/>
  <c r="C16" i="58"/>
  <c r="D14" i="58"/>
  <c r="D16" i="58"/>
  <c r="C8" i="58"/>
  <c r="C15" i="58" s="1"/>
  <c r="D8" i="58"/>
  <c r="D15" i="58" s="1"/>
  <c r="K29" i="35" l="1"/>
  <c r="J28" i="35"/>
  <c r="J31" i="35" s="1"/>
  <c r="K26" i="35"/>
  <c r="D19" i="58"/>
  <c r="C19" i="58"/>
  <c r="D13" i="58"/>
  <c r="D17" i="58"/>
  <c r="D18" i="58" s="1"/>
  <c r="C13" i="58"/>
  <c r="C17" i="58"/>
  <c r="C18" i="58" s="1"/>
  <c r="L29" i="35" l="1"/>
  <c r="K28" i="35"/>
  <c r="K31" i="35" s="1"/>
  <c r="L26" i="35"/>
  <c r="BJ20" i="35"/>
  <c r="BI20" i="35"/>
  <c r="BH20" i="35"/>
  <c r="BG20" i="35"/>
  <c r="BF20" i="35"/>
  <c r="BE20" i="35"/>
  <c r="BD20" i="35"/>
  <c r="BC20" i="35"/>
  <c r="BB20" i="35"/>
  <c r="BA20" i="35"/>
  <c r="AZ20" i="35"/>
  <c r="AY20" i="35"/>
  <c r="AX20" i="35"/>
  <c r="AW20" i="35"/>
  <c r="AV20" i="35"/>
  <c r="AU20" i="35"/>
  <c r="AT20" i="35"/>
  <c r="AS20" i="35"/>
  <c r="AR20" i="35"/>
  <c r="AQ20" i="35"/>
  <c r="AP20" i="35"/>
  <c r="AO20" i="35"/>
  <c r="AN20" i="35"/>
  <c r="AM20" i="35"/>
  <c r="AL20" i="35"/>
  <c r="AK20" i="35"/>
  <c r="AJ20" i="35"/>
  <c r="AI20" i="35"/>
  <c r="AH20" i="35"/>
  <c r="AG20" i="35"/>
  <c r="M29" i="35" l="1"/>
  <c r="M26" i="35"/>
  <c r="L28" i="35"/>
  <c r="L31" i="35" s="1"/>
  <c r="BJ22" i="35"/>
  <c r="AU22" i="35"/>
  <c r="BC22" i="35"/>
  <c r="AV22" i="35"/>
  <c r="AG22" i="35"/>
  <c r="AO22" i="35"/>
  <c r="AW22" i="35"/>
  <c r="BE22" i="35"/>
  <c r="AM22" i="35"/>
  <c r="AN22" i="35"/>
  <c r="BD22" i="35"/>
  <c r="AH22" i="35"/>
  <c r="AP22" i="35"/>
  <c r="AX22" i="35"/>
  <c r="BF22" i="35"/>
  <c r="AT22" i="35"/>
  <c r="AI22" i="35"/>
  <c r="AQ22" i="35"/>
  <c r="AY22" i="35"/>
  <c r="BG22" i="35"/>
  <c r="BB22" i="35"/>
  <c r="AJ22" i="35"/>
  <c r="AR22" i="35"/>
  <c r="AZ22" i="35"/>
  <c r="BH22" i="35"/>
  <c r="AL22" i="35"/>
  <c r="AK22" i="35"/>
  <c r="AS22" i="35"/>
  <c r="BA22" i="35"/>
  <c r="BI22" i="35"/>
  <c r="N29" i="35" l="1"/>
  <c r="N26" i="35"/>
  <c r="M28" i="35"/>
  <c r="M31" i="35" s="1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/>
  <c r="O29" i="35" l="1"/>
  <c r="O26" i="35"/>
  <c r="N28" i="35"/>
  <c r="N31" i="35" s="1"/>
  <c r="Q22" i="35"/>
  <c r="Y22" i="35"/>
  <c r="X22" i="35"/>
  <c r="AF22" i="35"/>
  <c r="R22" i="35"/>
  <c r="Z22" i="35"/>
  <c r="S22" i="35"/>
  <c r="AA22" i="35"/>
  <c r="P22" i="35"/>
  <c r="L22" i="35"/>
  <c r="T22" i="35"/>
  <c r="AB22" i="35"/>
  <c r="M22" i="35"/>
  <c r="AC22" i="35"/>
  <c r="N22" i="35"/>
  <c r="V22" i="35"/>
  <c r="AD22" i="35"/>
  <c r="U22" i="35"/>
  <c r="O22" i="35"/>
  <c r="W22" i="35"/>
  <c r="AE22" i="35"/>
  <c r="P29" i="35" l="1"/>
  <c r="P26" i="35"/>
  <c r="O28" i="35"/>
  <c r="O31" i="35" s="1"/>
  <c r="C6" i="35"/>
  <c r="Q29" i="35" l="1"/>
  <c r="Q26" i="35"/>
  <c r="P28" i="35"/>
  <c r="P31" i="35" s="1"/>
  <c r="D6" i="35"/>
  <c r="B6" i="35" s="1"/>
  <c r="R29" i="35" l="1"/>
  <c r="R26" i="35"/>
  <c r="Q28" i="35"/>
  <c r="Q31" i="35" s="1"/>
  <c r="F21" i="35"/>
  <c r="F22" i="35" s="1"/>
  <c r="D21" i="35"/>
  <c r="D22" i="35" s="1"/>
  <c r="K21" i="35"/>
  <c r="K22" i="35" s="1"/>
  <c r="C21" i="35"/>
  <c r="C22" i="35" s="1"/>
  <c r="J21" i="35"/>
  <c r="J22" i="35" s="1"/>
  <c r="B21" i="35"/>
  <c r="B22" i="35" s="1"/>
  <c r="I21" i="35"/>
  <c r="I22" i="35" s="1"/>
  <c r="H21" i="35"/>
  <c r="H22" i="35" s="1"/>
  <c r="G21" i="35"/>
  <c r="G22" i="35" s="1"/>
  <c r="E21" i="35"/>
  <c r="E22" i="35" s="1"/>
  <c r="B3" i="35"/>
  <c r="S29" i="35" l="1"/>
  <c r="R28" i="35"/>
  <c r="R31" i="35" s="1"/>
  <c r="S26" i="35"/>
  <c r="T29" i="35" l="1"/>
  <c r="S28" i="35"/>
  <c r="S31" i="35" s="1"/>
  <c r="T26" i="35"/>
  <c r="U29" i="35" l="1"/>
  <c r="U26" i="35"/>
  <c r="T28" i="35"/>
  <c r="T31" i="35" s="1"/>
  <c r="U31" i="35" l="1"/>
  <c r="V29" i="35"/>
  <c r="V26" i="35"/>
  <c r="U28" i="35"/>
  <c r="W29" i="35" l="1"/>
  <c r="W26" i="35"/>
  <c r="V28" i="35"/>
  <c r="V31" i="35" s="1"/>
  <c r="X29" i="35" l="1"/>
  <c r="W28" i="35"/>
  <c r="W31" i="35" s="1"/>
  <c r="X26" i="35"/>
  <c r="Y29" i="35" l="1"/>
  <c r="Y26" i="35"/>
  <c r="X28" i="35"/>
  <c r="X31" i="35" s="1"/>
  <c r="Z29" i="35" l="1"/>
  <c r="Z26" i="35"/>
  <c r="Y28" i="35"/>
  <c r="Y31" i="35" s="1"/>
  <c r="AA29" i="35" l="1"/>
  <c r="AA26" i="35"/>
  <c r="Z28" i="35"/>
  <c r="Z31" i="35" s="1"/>
  <c r="AB29" i="35" l="1"/>
  <c r="AA28" i="35"/>
  <c r="AA31" i="35" s="1"/>
  <c r="AB26" i="35"/>
  <c r="AC29" i="35" l="1"/>
  <c r="AC26" i="35"/>
  <c r="AB28" i="35"/>
  <c r="AB31" i="35" s="1"/>
  <c r="AD29" i="35" l="1"/>
  <c r="AD26" i="35"/>
  <c r="AC28" i="35"/>
  <c r="AC31" i="35" s="1"/>
  <c r="AE29" i="35" l="1"/>
  <c r="AE26" i="35"/>
  <c r="AD28" i="35"/>
  <c r="AD31" i="35" s="1"/>
  <c r="AF29" i="35" l="1"/>
  <c r="AE28" i="35"/>
  <c r="AE31" i="35" s="1"/>
  <c r="AF26" i="35"/>
  <c r="AG29" i="35" l="1"/>
  <c r="AG26" i="35"/>
  <c r="AF28" i="35"/>
  <c r="AF31" i="35" s="1"/>
  <c r="AH29" i="35" l="1"/>
  <c r="AH26" i="35"/>
  <c r="AG28" i="35"/>
  <c r="AG31" i="35" s="1"/>
  <c r="AI29" i="35" l="1"/>
  <c r="AH28" i="35"/>
  <c r="AH31" i="35" s="1"/>
  <c r="AI26" i="35"/>
  <c r="AJ29" i="35" l="1"/>
  <c r="AI28" i="35"/>
  <c r="AI31" i="35" s="1"/>
  <c r="AJ26" i="35"/>
  <c r="AK29" i="35" l="1"/>
  <c r="AK26" i="35"/>
  <c r="AJ28" i="35"/>
  <c r="AJ31" i="35" s="1"/>
  <c r="AL29" i="35" l="1"/>
  <c r="AL26" i="35"/>
  <c r="AK28" i="35"/>
  <c r="AK31" i="35" s="1"/>
  <c r="AL31" i="35" l="1"/>
  <c r="AM29" i="35"/>
  <c r="AM26" i="35"/>
  <c r="AL28" i="35"/>
  <c r="AN29" i="35" l="1"/>
  <c r="AM28" i="35"/>
  <c r="AM31" i="35" s="1"/>
  <c r="AN26" i="35"/>
  <c r="AO29" i="35" l="1"/>
  <c r="AO26" i="35"/>
  <c r="AN28" i="35"/>
  <c r="AN31" i="35" s="1"/>
  <c r="AP29" i="35" l="1"/>
  <c r="AP26" i="35"/>
  <c r="AO28" i="35"/>
  <c r="AO31" i="35" s="1"/>
  <c r="AQ29" i="35" l="1"/>
  <c r="AP28" i="35"/>
  <c r="AP31" i="35" s="1"/>
  <c r="AQ26" i="35"/>
  <c r="AR29" i="35" l="1"/>
  <c r="AQ28" i="35"/>
  <c r="AQ31" i="35" s="1"/>
  <c r="AR26" i="35"/>
  <c r="AS29" i="35" l="1"/>
  <c r="AS26" i="35"/>
  <c r="AR28" i="35"/>
  <c r="AR31" i="35" s="1"/>
  <c r="AT29" i="35" l="1"/>
  <c r="AT26" i="35"/>
  <c r="AS28" i="35"/>
  <c r="AS31" i="35" s="1"/>
  <c r="AU29" i="35" l="1"/>
  <c r="AU26" i="35"/>
  <c r="AT28" i="35"/>
  <c r="AT31" i="35" s="1"/>
  <c r="AV29" i="35" l="1"/>
  <c r="AV26" i="35"/>
  <c r="AU28" i="35"/>
  <c r="AU31" i="35" s="1"/>
  <c r="AW29" i="35" l="1"/>
  <c r="AW26" i="35"/>
  <c r="AV28" i="35"/>
  <c r="AV31" i="35" s="1"/>
  <c r="AX29" i="35" l="1"/>
  <c r="AX26" i="35"/>
  <c r="AW28" i="35"/>
  <c r="AW31" i="35" s="1"/>
  <c r="AY29" i="35" l="1"/>
  <c r="AX28" i="35"/>
  <c r="AX31" i="35" s="1"/>
  <c r="AY26" i="35"/>
  <c r="AZ29" i="35" l="1"/>
  <c r="AY28" i="35"/>
  <c r="AY31" i="35" s="1"/>
  <c r="AZ26" i="35"/>
  <c r="BA29" i="35" l="1"/>
  <c r="BA26" i="35"/>
  <c r="AZ28" i="35"/>
  <c r="AZ31" i="35" s="1"/>
  <c r="BB29" i="35" l="1"/>
  <c r="BB26" i="35"/>
  <c r="BA28" i="35"/>
  <c r="BA31" i="35" s="1"/>
  <c r="BC29" i="35" l="1"/>
  <c r="BC26" i="35"/>
  <c r="BB28" i="35"/>
  <c r="BB31" i="35" s="1"/>
  <c r="BD29" i="35" l="1"/>
  <c r="BC28" i="35"/>
  <c r="BC31" i="35" s="1"/>
  <c r="BD26" i="35"/>
  <c r="BE29" i="35" l="1"/>
  <c r="BE26" i="35"/>
  <c r="BD28" i="35"/>
  <c r="BD31" i="35" s="1"/>
  <c r="BF29" i="35" l="1"/>
  <c r="BF26" i="35"/>
  <c r="BE28" i="35"/>
  <c r="BE31" i="35" s="1"/>
  <c r="BG29" i="35" l="1"/>
  <c r="BG26" i="35"/>
  <c r="BF28" i="35"/>
  <c r="BF31" i="35" s="1"/>
  <c r="BH29" i="35" l="1"/>
  <c r="BG28" i="35"/>
  <c r="BG31" i="35" s="1"/>
  <c r="BH26" i="35"/>
  <c r="BI29" i="35" l="1"/>
  <c r="BI26" i="35"/>
  <c r="BH28" i="35"/>
  <c r="BH31" i="35" s="1"/>
  <c r="BJ29" i="35" l="1"/>
  <c r="BJ26" i="35"/>
  <c r="BJ28" i="35" s="1"/>
  <c r="BI28" i="35"/>
  <c r="BI31" i="35" s="1"/>
  <c r="BJ31" i="35" l="1"/>
</calcChain>
</file>

<file path=xl/sharedStrings.xml><?xml version="1.0" encoding="utf-8"?>
<sst xmlns="http://schemas.openxmlformats.org/spreadsheetml/2006/main" count="64" uniqueCount="61">
  <si>
    <t>Impact op recycling</t>
  </si>
  <si>
    <t>per ton</t>
  </si>
  <si>
    <t>Verbrandingstarief sorteerresidu</t>
  </si>
  <si>
    <t>Verwerkingstarief gft</t>
  </si>
  <si>
    <t>Tonnage gemeente</t>
  </si>
  <si>
    <t>Percentage gft-afval verbrand</t>
  </si>
  <si>
    <t>Factor vervuiling sorteerresidu</t>
  </si>
  <si>
    <t>Gemiddelde vervuiling gemeente</t>
  </si>
  <si>
    <t>ton per jaar</t>
  </si>
  <si>
    <t>Percentage voor afkeur</t>
  </si>
  <si>
    <t>Jaar</t>
  </si>
  <si>
    <t>Percentage vervuiling</t>
  </si>
  <si>
    <t>Gemiddelde 2018/2019</t>
  </si>
  <si>
    <t>Factor tussen vervuiling en hoeveelheid sorteerresidu</t>
  </si>
  <si>
    <t>Percentage compost op basis van input</t>
  </si>
  <si>
    <t>Percentage omzetting in methaan bij vergisten en/of broeiverlies bij composteren in de vorm van verdampen water en omzetten biomassa in CO2 en waterdamp</t>
  </si>
  <si>
    <t>Percentage gft-afval geschikt voor composteren en/of vergisten</t>
  </si>
  <si>
    <t>Genormaliseerde standaarddeviatie</t>
  </si>
  <si>
    <t>Standaarddeviatie</t>
  </si>
  <si>
    <t>Verwerkingstarief goedgekeurd gft-afval</t>
  </si>
  <si>
    <t>Verwerkingstarief afgekeurd gft-afval</t>
  </si>
  <si>
    <t>Gemiddeld tarief gft-afval voor gemeente als bij het afkeurpercentage alles wordt afgekeurd.</t>
  </si>
  <si>
    <t>Percentage verontreiniging</t>
  </si>
  <si>
    <t>Lijn positie gemeente</t>
  </si>
  <si>
    <t>Impact op kosten gemeente per ton gft-afval</t>
  </si>
  <si>
    <t>Afkeurpercentage uit verwerkingscontract</t>
  </si>
  <si>
    <t>Standaarddeviatie voor gemiddeld gft-afval</t>
  </si>
  <si>
    <t>Berekende kans op afkeur met aangenomen normaalverdeling</t>
  </si>
  <si>
    <t>uit analyse getallen VA</t>
  </si>
  <si>
    <t>Percentage niet vergist/gecomposteerd</t>
  </si>
  <si>
    <t>Direct transport naar een gft-verwerker</t>
  </si>
  <si>
    <t>Transport naar een overslaglocatie</t>
  </si>
  <si>
    <t>Alle cellen die groen gemarkeerd zijn kunnen worden aangepast op de (contract)waarden voor uw gemeente</t>
  </si>
  <si>
    <t>Verwerkingstarief gft-afval</t>
  </si>
  <si>
    <t>Verbrandingstarief afgekeurd gft-afval</t>
  </si>
  <si>
    <t xml:space="preserve">Geschikt als grondstof voor onder andere compost en biogas </t>
  </si>
  <si>
    <t>Verwacht percentage vrachten gft-afval dat afgekeurd zou kunnen worden en verbrand zal worden</t>
  </si>
  <si>
    <t>Lijn afkeurpercentage</t>
  </si>
  <si>
    <t>Kentallen gft-afval</t>
  </si>
  <si>
    <t>Gemiddeld gewichtspercentage vervuiling</t>
  </si>
  <si>
    <t>Tonnage geschikt als grondstof</t>
  </si>
  <si>
    <t>Gemiddeld verwerkingstarief door potentiële afkeur</t>
  </si>
  <si>
    <t>Impact kosten</t>
  </si>
  <si>
    <t>Tonnage ongeschikt als grondstof en gaat naar verbranding</t>
  </si>
  <si>
    <t>Scenario 2% meer vervuiling</t>
  </si>
  <si>
    <t>Scenario 2% minder vervuiling</t>
  </si>
  <si>
    <t>Gemiddelde gewichtspercentage vervuiling bij gemeente</t>
  </si>
  <si>
    <t>Afkeurpercentage</t>
  </si>
  <si>
    <t>Uitgangspunten voor kosten en milieuprestatie gemeente</t>
  </si>
  <si>
    <t>Huidige praktijk 2020 met afkeur bij 15%</t>
  </si>
  <si>
    <t>Huidige contractsituatie met afkeur volgens afkeurpercentage contract</t>
  </si>
  <si>
    <t>Scenario 2% meer vervuiling en met afkeur volgens afkeurpercentage contract</t>
  </si>
  <si>
    <t>Scenario 2% minder vervuiling en met afkeur volgens afkeurpercentage contract</t>
  </si>
  <si>
    <t xml:space="preserve">Composteringskosten voor geaccepteerd gft-afval </t>
  </si>
  <si>
    <t xml:space="preserve">Verbrandingskosten voor afgekeurd gft-afval </t>
  </si>
  <si>
    <t>Verbrandingskosten afgekeurd gft-afval per ton aangeboden gft-afval</t>
  </si>
  <si>
    <t>Composteringskosten geaccpteerd gft-afval per ton aangeboden gft-afval</t>
  </si>
  <si>
    <t>Totale verwerkingskosten per ton aangeboden gft-afval</t>
  </si>
  <si>
    <t xml:space="preserve">Totale verwerkingskosten gft-afval 
</t>
  </si>
  <si>
    <t>Totaal tonnage aangeboden gft-afval</t>
  </si>
  <si>
    <t>Niet aanpassen teruggerekend voor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</si>
</sst>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4" fontId="0" fillId="3" borderId="0" xfId="4" applyFont="1" applyFill="1" applyAlignment="1">
      <alignment vertical="top"/>
    </xf>
    <xf numFmtId="9" fontId="0" fillId="3" borderId="0" xfId="0" applyNumberFormat="1" applyFill="1" applyAlignment="1">
      <alignment vertical="top"/>
    </xf>
    <xf numFmtId="44" fontId="0" fillId="0" borderId="0" xfId="4" applyFont="1" applyFill="1" applyAlignment="1">
      <alignment vertical="top"/>
    </xf>
    <xf numFmtId="0" fontId="5" fillId="0" borderId="0" xfId="0" applyFont="1" applyAlignment="1">
      <alignment horizontal="left" vertical="top"/>
    </xf>
    <xf numFmtId="164" fontId="0" fillId="0" borderId="0" xfId="0" applyNumberForma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4" fontId="0" fillId="0" borderId="0" xfId="4" applyFont="1" applyAlignment="1">
      <alignment vertical="top"/>
    </xf>
    <xf numFmtId="44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164" fontId="0" fillId="0" borderId="0" xfId="1" applyNumberFormat="1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1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3" fontId="0" fillId="2" borderId="0" xfId="0" applyNumberFormat="1" applyFill="1" applyAlignment="1">
      <alignment vertical="top"/>
    </xf>
    <xf numFmtId="43" fontId="0" fillId="0" borderId="0" xfId="6" applyFont="1" applyFill="1" applyAlignment="1">
      <alignment vertical="top"/>
    </xf>
    <xf numFmtId="164" fontId="0" fillId="0" borderId="0" xfId="0" applyNumberFormat="1" applyAlignment="1">
      <alignment vertical="top"/>
    </xf>
    <xf numFmtId="9" fontId="0" fillId="0" borderId="0" xfId="1" applyFont="1" applyAlignment="1">
      <alignment vertical="top"/>
    </xf>
    <xf numFmtId="10" fontId="0" fillId="2" borderId="0" xfId="1" applyNumberFormat="1" applyFont="1" applyFill="1" applyAlignment="1">
      <alignment vertical="top"/>
    </xf>
    <xf numFmtId="164" fontId="0" fillId="2" borderId="0" xfId="1" applyNumberFormat="1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10" fontId="0" fillId="2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9" fontId="0" fillId="0" borderId="0" xfId="0" applyNumberFormat="1" applyAlignment="1">
      <alignment vertical="top"/>
    </xf>
    <xf numFmtId="164" fontId="0" fillId="3" borderId="0" xfId="0" applyNumberFormat="1" applyFill="1" applyAlignment="1">
      <alignment vertical="top"/>
    </xf>
    <xf numFmtId="44" fontId="0" fillId="3" borderId="0" xfId="4" applyFont="1" applyFill="1" applyAlignment="1">
      <alignment wrapText="1"/>
    </xf>
    <xf numFmtId="0" fontId="5" fillId="0" borderId="0" xfId="0" applyFont="1" applyAlignment="1">
      <alignment horizontal="center" vertical="top" wrapText="1"/>
    </xf>
    <xf numFmtId="165" fontId="0" fillId="0" borderId="0" xfId="6" applyNumberFormat="1" applyFont="1" applyAlignment="1">
      <alignment horizontal="center" vertical="top"/>
    </xf>
    <xf numFmtId="16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vertical="top"/>
    </xf>
    <xf numFmtId="44" fontId="0" fillId="0" borderId="0" xfId="0" applyNumberFormat="1" applyAlignment="1">
      <alignment horizontal="center"/>
    </xf>
    <xf numFmtId="44" fontId="0" fillId="0" borderId="0" xfId="4" applyFont="1" applyAlignment="1">
      <alignment horizontal="center" vertical="top"/>
    </xf>
    <xf numFmtId="44" fontId="7" fillId="0" borderId="0" xfId="4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3" fontId="0" fillId="0" borderId="0" xfId="6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0" xfId="1" applyNumberFormat="1" applyFont="1" applyAlignment="1">
      <alignment horizontal="right" vertical="top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165" fontId="0" fillId="3" borderId="0" xfId="6" applyNumberFormat="1" applyFont="1" applyFill="1" applyAlignment="1">
      <alignment vertical="top"/>
    </xf>
    <xf numFmtId="164" fontId="0" fillId="2" borderId="0" xfId="1" applyNumberFormat="1" applyFont="1" applyFill="1" applyAlignment="1">
      <alignment horizontal="right" vertical="top"/>
    </xf>
    <xf numFmtId="0" fontId="0" fillId="2" borderId="0" xfId="0" applyFill="1" applyAlignment="1">
      <alignment horizontal="left" vertical="top" wrapText="1"/>
    </xf>
  </cellXfs>
  <cellStyles count="7">
    <cellStyle name="Komma" xfId="6" builtinId="3"/>
    <cellStyle name="Normal_Test normal distribution" xfId="5"/>
    <cellStyle name="Procent" xfId="1" builtinId="5"/>
    <cellStyle name="Procent 2" xfId="3"/>
    <cellStyle name="Standaard" xfId="0" builtinId="0"/>
    <cellStyle name="Standaard 2" xfId="2"/>
    <cellStyle name="Valuta" xfId="4" builtinId="4"/>
  </cellStyles>
  <dxfs count="0"/>
  <tableStyles count="0" defaultTableStyle="TableStyleMedium2" defaultPivotStyle="PivotStyleLight16"/>
  <colors>
    <mruColors>
      <color rgb="FF009900"/>
      <color rgb="FF33CCCC"/>
      <color rgb="FFFFCC00"/>
      <color rgb="FFF09456"/>
      <color rgb="FF66FFFF"/>
      <color rgb="FFFF66FF"/>
      <color rgb="FF9966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82238609705008"/>
          <c:y val="1.1483932126018189E-2"/>
          <c:w val="0.78149532099022545"/>
          <c:h val="0.72913974678254845"/>
        </c:manualLayout>
      </c:layout>
      <c:scatterChart>
        <c:scatterStyle val="lineMarker"/>
        <c:varyColors val="0"/>
        <c:ser>
          <c:idx val="0"/>
          <c:order val="0"/>
          <c:tx>
            <c:v>Gemiddelde kosten voor de verwerking van gft-afval inclusief kosten voor afkeur in euro's per ton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'Berekeningen impact vervuiling'!$B$17:$BJ$17</c:f>
              <c:numCache>
                <c:formatCode>0.0%</c:formatCode>
                <c:ptCount val="6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</c:numCache>
            </c:numRef>
          </c:xVal>
          <c:yVal>
            <c:numRef>
              <c:f>'Berekeningen impact vervuiling'!$B$31:$BJ$31</c:f>
              <c:numCache>
                <c:formatCode>_("€"* #,##0.00_);_("€"* \(#,##0.00\);_("€"* "-"??_);_(@_)</c:formatCode>
                <c:ptCount val="61"/>
                <c:pt idx="0">
                  <c:v>62.613192712612914</c:v>
                </c:pt>
                <c:pt idx="1">
                  <c:v>63.802847010006971</c:v>
                </c:pt>
                <c:pt idx="2">
                  <c:v>65.38513985514443</c:v>
                </c:pt>
                <c:pt idx="3">
                  <c:v>67.424011890520234</c:v>
                </c:pt>
                <c:pt idx="4">
                  <c:v>69.969259990395642</c:v>
                </c:pt>
                <c:pt idx="5">
                  <c:v>73.04753451297114</c:v>
                </c:pt>
                <c:pt idx="6">
                  <c:v>76.654331259276461</c:v>
                </c:pt>
                <c:pt idx="7">
                  <c:v>80.74856944255842</c:v>
                </c:pt>
                <c:pt idx="8">
                  <c:v>85.251151824206289</c:v>
                </c:pt>
                <c:pt idx="9">
                  <c:v>90.048346803218124</c:v>
                </c:pt>
                <c:pt idx="10">
                  <c:v>95</c:v>
                </c:pt>
                <c:pt idx="11">
                  <c:v>99.951653196781876</c:v>
                </c:pt>
                <c:pt idx="12">
                  <c:v>104.74884817579371</c:v>
                </c:pt>
                <c:pt idx="13">
                  <c:v>109.25143055744159</c:v>
                </c:pt>
                <c:pt idx="14">
                  <c:v>113.34566874072355</c:v>
                </c:pt>
                <c:pt idx="15">
                  <c:v>116.95246548702885</c:v>
                </c:pt>
                <c:pt idx="16">
                  <c:v>120.03074000960436</c:v>
                </c:pt>
                <c:pt idx="17">
                  <c:v>122.57598810947977</c:v>
                </c:pt>
                <c:pt idx="18">
                  <c:v>124.61486014485558</c:v>
                </c:pt>
                <c:pt idx="19">
                  <c:v>126.19715298999303</c:v>
                </c:pt>
                <c:pt idx="20">
                  <c:v>127.38680728738709</c:v>
                </c:pt>
                <c:pt idx="21">
                  <c:v>128.25335339683477</c:v>
                </c:pt>
                <c:pt idx="22">
                  <c:v>128.86485771024283</c:v>
                </c:pt>
                <c:pt idx="23">
                  <c:v>129.28292316410972</c:v>
                </c:pt>
                <c:pt idx="24">
                  <c:v>129.55982504404341</c:v>
                </c:pt>
                <c:pt idx="25">
                  <c:v>129.73750741669807</c:v>
                </c:pt>
                <c:pt idx="26">
                  <c:v>129.84796602140324</c:v>
                </c:pt>
                <c:pt idx="27">
                  <c:v>129.91449203104938</c:v>
                </c:pt>
                <c:pt idx="28">
                  <c:v>129.95330885979669</c:v>
                </c:pt>
                <c:pt idx="29">
                  <c:v>129.97525131514524</c:v>
                </c:pt>
                <c:pt idx="30">
                  <c:v>129.98726806234987</c:v>
                </c:pt>
                <c:pt idx="31">
                  <c:v>129.99364372146863</c:v>
                </c:pt>
                <c:pt idx="32">
                  <c:v>129.99692089654948</c:v>
                </c:pt>
                <c:pt idx="33">
                  <c:v>129.99855286032724</c:v>
                </c:pt>
                <c:pt idx="34">
                  <c:v>129.99934019182291</c:v>
                </c:pt>
                <c:pt idx="35">
                  <c:v>129.99970818595366</c:v>
                </c:pt>
                <c:pt idx="36">
                  <c:v>129.99987481865401</c:v>
                </c:pt>
                <c:pt idx="37">
                  <c:v>129.99994791834789</c:v>
                </c:pt>
                <c:pt idx="38">
                  <c:v>129.99997898588165</c:v>
                </c:pt>
                <c:pt idx="39">
                  <c:v>129.9999917777447</c:v>
                </c:pt>
                <c:pt idx="40">
                  <c:v>129.99999688040347</c:v>
                </c:pt>
                <c:pt idx="41">
                  <c:v>129.99999885234877</c:v>
                </c:pt>
                <c:pt idx="42">
                  <c:v>129.99999959064166</c:v>
                </c:pt>
                <c:pt idx="43">
                  <c:v>129.99999985843385</c:v>
                </c:pt>
                <c:pt idx="44">
                  <c:v>129.99999995253663</c:v>
                </c:pt>
                <c:pt idx="45">
                  <c:v>129.99999998457292</c:v>
                </c:pt>
                <c:pt idx="46">
                  <c:v>129.99999999513906</c:v>
                </c:pt>
                <c:pt idx="47">
                  <c:v>129.99999999851528</c:v>
                </c:pt>
                <c:pt idx="48">
                  <c:v>129.9999999995604</c:v>
                </c:pt>
                <c:pt idx="49">
                  <c:v>129.99999999987384</c:v>
                </c:pt>
                <c:pt idx="50">
                  <c:v>129.9999999999649</c:v>
                </c:pt>
                <c:pt idx="51">
                  <c:v>129.99999999999051</c:v>
                </c:pt>
                <c:pt idx="52">
                  <c:v>129.99999999999756</c:v>
                </c:pt>
                <c:pt idx="53">
                  <c:v>129.99999999999937</c:v>
                </c:pt>
                <c:pt idx="54">
                  <c:v>129.99999999999986</c:v>
                </c:pt>
                <c:pt idx="55">
                  <c:v>129.99999999999994</c:v>
                </c:pt>
                <c:pt idx="56">
                  <c:v>129.99999999999997</c:v>
                </c:pt>
                <c:pt idx="57">
                  <c:v>130</c:v>
                </c:pt>
                <c:pt idx="58">
                  <c:v>130</c:v>
                </c:pt>
                <c:pt idx="59">
                  <c:v>130</c:v>
                </c:pt>
                <c:pt idx="60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AE-4122-A7BC-037D85F198D9}"/>
            </c:ext>
          </c:extLst>
        </c:ser>
        <c:ser>
          <c:idx val="1"/>
          <c:order val="1"/>
          <c:tx>
            <c:v>Gemiddelde percentage vervuiling in gft-afval voor uw gemeente in gewichtsprocent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99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A50-4527-B354-15EC6B8AA69B}"/>
              </c:ext>
            </c:extLst>
          </c:dPt>
          <c:xVal>
            <c:numRef>
              <c:f>'Berekeningen impact vervuiling'!$C$12:$D$12</c:f>
              <c:numCache>
                <c:formatCode>0%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xVal>
          <c:yVal>
            <c:numRef>
              <c:f>'Berekeningen impact vervuiling'!$C$11:$D$11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AE-4122-A7BC-037D85F19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61408"/>
        <c:axId val="725856816"/>
      </c:scatterChart>
      <c:scatterChart>
        <c:scatterStyle val="lineMarker"/>
        <c:varyColors val="0"/>
        <c:ser>
          <c:idx val="2"/>
          <c:order val="2"/>
          <c:tx>
            <c:v>Gewichtspercentage vrachten dat wordt afgekeurd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'Berekeningen impact vervuiling'!$B$17:$BJ$17</c:f>
              <c:numCache>
                <c:formatCode>0.0%</c:formatCode>
                <c:ptCount val="6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</c:numCache>
            </c:numRef>
          </c:xVal>
          <c:yVal>
            <c:numRef>
              <c:f>'Berekeningen impact vervuiling'!$B$28:$BJ$28</c:f>
              <c:numCache>
                <c:formatCode>0%</c:formatCode>
                <c:ptCount val="61"/>
                <c:pt idx="0">
                  <c:v>3.7331324465898777E-2</c:v>
                </c:pt>
                <c:pt idx="1">
                  <c:v>5.4326385857242462E-2</c:v>
                </c:pt>
                <c:pt idx="2">
                  <c:v>7.6930569359206072E-2</c:v>
                </c:pt>
                <c:pt idx="3">
                  <c:v>0.10605731272171769</c:v>
                </c:pt>
                <c:pt idx="4">
                  <c:v>0.14241799986279483</c:v>
                </c:pt>
                <c:pt idx="5">
                  <c:v>0.18639335018530204</c:v>
                </c:pt>
                <c:pt idx="6">
                  <c:v>0.23791901798966367</c:v>
                </c:pt>
                <c:pt idx="7">
                  <c:v>0.29640813489369167</c:v>
                </c:pt>
                <c:pt idx="8">
                  <c:v>0.3607307403458041</c:v>
                </c:pt>
                <c:pt idx="9">
                  <c:v>0.42926209718883024</c:v>
                </c:pt>
                <c:pt idx="10">
                  <c:v>0.5</c:v>
                </c:pt>
                <c:pt idx="11">
                  <c:v>0.57073790281116965</c:v>
                </c:pt>
                <c:pt idx="12">
                  <c:v>0.63926925965419579</c:v>
                </c:pt>
                <c:pt idx="13">
                  <c:v>0.70359186510630833</c:v>
                </c:pt>
                <c:pt idx="14">
                  <c:v>0.76208098201033636</c:v>
                </c:pt>
                <c:pt idx="15">
                  <c:v>0.81360664981469788</c:v>
                </c:pt>
                <c:pt idx="16">
                  <c:v>0.85758200013720509</c:v>
                </c:pt>
                <c:pt idx="17">
                  <c:v>0.8939426872782823</c:v>
                </c:pt>
                <c:pt idx="18">
                  <c:v>0.92306943064079394</c:v>
                </c:pt>
                <c:pt idx="19">
                  <c:v>0.94567361414275752</c:v>
                </c:pt>
                <c:pt idx="20">
                  <c:v>0.96266867553410118</c:v>
                </c:pt>
                <c:pt idx="21">
                  <c:v>0.9750479056690684</c:v>
                </c:pt>
                <c:pt idx="22">
                  <c:v>0.98378368157489771</c:v>
                </c:pt>
                <c:pt idx="23">
                  <c:v>0.98975604520156724</c:v>
                </c:pt>
                <c:pt idx="24">
                  <c:v>0.99371178634347712</c:v>
                </c:pt>
                <c:pt idx="25">
                  <c:v>0.9962501059528297</c:v>
                </c:pt>
                <c:pt idx="26">
                  <c:v>0.99782808602004625</c:v>
                </c:pt>
                <c:pt idx="27">
                  <c:v>0.9987784575864197</c:v>
                </c:pt>
                <c:pt idx="28">
                  <c:v>0.99933298371138113</c:v>
                </c:pt>
                <c:pt idx="29">
                  <c:v>0.99964644735921793</c:v>
                </c:pt>
                <c:pt idx="30">
                  <c:v>0.99981811517642638</c:v>
                </c:pt>
                <c:pt idx="31">
                  <c:v>0.99990919602098027</c:v>
                </c:pt>
                <c:pt idx="32">
                  <c:v>0.99995601280784963</c:v>
                </c:pt>
                <c:pt idx="33">
                  <c:v>0.999979326576103</c:v>
                </c:pt>
                <c:pt idx="34">
                  <c:v>0.99999057416889836</c:v>
                </c:pt>
                <c:pt idx="35">
                  <c:v>0.99999583122790947</c:v>
                </c:pt>
                <c:pt idx="36">
                  <c:v>0.99999821169505754</c:v>
                </c:pt>
                <c:pt idx="37">
                  <c:v>0.99999925597639849</c:v>
                </c:pt>
                <c:pt idx="38">
                  <c:v>0.99999969979830938</c:v>
                </c:pt>
                <c:pt idx="39">
                  <c:v>0.99999988253921013</c:v>
                </c:pt>
                <c:pt idx="40">
                  <c:v>0.99999995543433551</c:v>
                </c:pt>
                <c:pt idx="41">
                  <c:v>0.99999998360498232</c:v>
                </c:pt>
                <c:pt idx="42">
                  <c:v>0.99999999415202379</c:v>
                </c:pt>
                <c:pt idx="43">
                  <c:v>0.99999999797762662</c:v>
                </c:pt>
                <c:pt idx="44">
                  <c:v>0.99999999932195205</c:v>
                </c:pt>
                <c:pt idx="45">
                  <c:v>0.99999999977961318</c:v>
                </c:pt>
                <c:pt idx="46">
                  <c:v>0.99999999993055821</c:v>
                </c:pt>
                <c:pt idx="47">
                  <c:v>0.99999999997878952</c:v>
                </c:pt>
                <c:pt idx="48">
                  <c:v>0.99999999999372002</c:v>
                </c:pt>
                <c:pt idx="49">
                  <c:v>0.99999999999819766</c:v>
                </c:pt>
                <c:pt idx="50">
                  <c:v>0.99999999999949862</c:v>
                </c:pt>
                <c:pt idx="51">
                  <c:v>0.99999999999986477</c:v>
                </c:pt>
                <c:pt idx="52">
                  <c:v>0.99999999999996469</c:v>
                </c:pt>
                <c:pt idx="53">
                  <c:v>0.99999999999999101</c:v>
                </c:pt>
                <c:pt idx="54">
                  <c:v>0.99999999999999778</c:v>
                </c:pt>
                <c:pt idx="55">
                  <c:v>0.99999999999999944</c:v>
                </c:pt>
                <c:pt idx="56">
                  <c:v>0.99999999999999989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AE-4122-A7BC-037D85F198D9}"/>
            </c:ext>
          </c:extLst>
        </c:ser>
        <c:ser>
          <c:idx val="3"/>
          <c:order val="3"/>
          <c:tx>
            <c:v>Gewichtspercentage voor afkeur in verwerkingscontract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'Berekeningen impact vervuiling'!$C$15:$D$15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xVal>
          <c:yVal>
            <c:numRef>
              <c:f>'Berekeningen impact vervuiling'!$C$14:$D$14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A50-4527-B354-15EC6B8A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179808"/>
        <c:axId val="708547016"/>
      </c:scatterChart>
      <c:valAx>
        <c:axId val="725861408"/>
        <c:scaling>
          <c:orientation val="minMax"/>
          <c:max val="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Gemiddelde gewichtspercentage vervuiling in gft-afval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25856816"/>
        <c:crosses val="autoZero"/>
        <c:crossBetween val="midCat"/>
        <c:majorUnit val="1.0000000000000002E-2"/>
        <c:minorUnit val="1.0000000000000002E-2"/>
      </c:valAx>
      <c:valAx>
        <c:axId val="72585681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Gemiddeld tarief voor</a:t>
                </a:r>
                <a:r>
                  <a:rPr lang="nl-NL" baseline="0"/>
                  <a:t> afzet gft-afval inclusief kosten verwerken afzet bij afkeur </a:t>
                </a:r>
              </a:p>
              <a:p>
                <a:pPr>
                  <a:defRPr/>
                </a:pPr>
                <a:r>
                  <a:rPr lang="nl-NL" baseline="0"/>
                  <a:t>in euro's per ton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5027994884672779E-2"/>
              <c:y val="0.118200291432250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25861408"/>
        <c:crosses val="autoZero"/>
        <c:crossBetween val="midCat"/>
      </c:valAx>
      <c:valAx>
        <c:axId val="7085470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Percentage</a:t>
                </a:r>
                <a:r>
                  <a:rPr lang="nl-NL" baseline="0"/>
                  <a:t> gft-afval dat wordt afgekeurd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0179808"/>
        <c:crosses val="max"/>
        <c:crossBetween val="midCat"/>
      </c:valAx>
      <c:valAx>
        <c:axId val="600179808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708547016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840267797362817E-2"/>
          <c:y val="0.82421855304407643"/>
          <c:w val="0.91674447804557324"/>
          <c:h val="0.16113307542972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'Berekeningen impact vervuiling'!$A$20</c:f>
              <c:strCache>
                <c:ptCount val="1"/>
                <c:pt idx="0">
                  <c:v>Percentage gft-afval verbrand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'Berekeningen impact vervuiling'!$B$17:$AF$17</c:f>
              <c:numCache>
                <c:formatCode>0.0%</c:formatCode>
                <c:ptCount val="3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</c:numCache>
            </c:numRef>
          </c:cat>
          <c:val>
            <c:numRef>
              <c:f>'Berekeningen impact vervuiling'!$B$20:$AF$20</c:f>
              <c:numCache>
                <c:formatCode>0%</c:formatCode>
                <c:ptCount val="3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0-46BA-A27C-27019E064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613808"/>
        <c:axId val="656604296"/>
      </c:lineChart>
      <c:catAx>
        <c:axId val="65661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600"/>
                  <a:t>Percentge vervuiling in het gft-afval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56604296"/>
        <c:crosses val="autoZero"/>
        <c:auto val="1"/>
        <c:lblAlgn val="ctr"/>
        <c:lblOffset val="100"/>
        <c:noMultiLvlLbl val="0"/>
      </c:catAx>
      <c:valAx>
        <c:axId val="656604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600" baseline="0"/>
                  <a:t>Gewichtspercentage ingezameld gft-afval </a:t>
                </a:r>
              </a:p>
              <a:p>
                <a:pPr>
                  <a:defRPr/>
                </a:pPr>
                <a:r>
                  <a:rPr lang="nl-NL" sz="1600" baseline="0"/>
                  <a:t>dat wordt verbrand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5661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ek7"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2188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D808C48-F3FA-4659-8B43-D18F1F371B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84" cy="6068934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E98A8BA0-0128-4398-B6F2-43EF58BC66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ffice\Formulieren\formulieren%202014\digitaal%20format%20Venl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erformulier"/>
      <sheetName val="INVOER RESTAFVAL"/>
      <sheetName val="REST Nasub KFF"/>
      <sheetName val="REST Nasub FOLIE EN FORMVAST"/>
      <sheetName val="REST TOELICHTING"/>
      <sheetName val="INVOER KUNSTSTOF"/>
      <sheetName val="Kunststof Nasub KFF "/>
      <sheetName val="Kunst Nasub FOLIE EN FORMV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pane xSplit="5" ySplit="8" topLeftCell="F11" activePane="bottomRight" state="frozen"/>
      <selection activeCell="A3" sqref="A3"/>
      <selection pane="topRight" activeCell="F3" sqref="F3"/>
      <selection pane="bottomLeft" activeCell="A22" sqref="A22"/>
      <selection pane="bottomRight" activeCell="B6" sqref="B6"/>
    </sheetView>
  </sheetViews>
  <sheetFormatPr defaultRowHeight="15" x14ac:dyDescent="0.25"/>
  <cols>
    <col min="1" max="1" width="73" style="9" customWidth="1"/>
    <col min="2" max="2" width="10.140625" bestFit="1" customWidth="1"/>
    <col min="3" max="3" width="17.7109375" bestFit="1" customWidth="1"/>
    <col min="4" max="4" width="10.140625" bestFit="1" customWidth="1"/>
  </cols>
  <sheetData>
    <row r="1" spans="1:5" hidden="1" x14ac:dyDescent="0.25">
      <c r="A1" s="9" t="s">
        <v>30</v>
      </c>
    </row>
    <row r="2" spans="1:5" hidden="1" x14ac:dyDescent="0.25">
      <c r="A2" s="9" t="s">
        <v>31</v>
      </c>
    </row>
    <row r="3" spans="1:5" x14ac:dyDescent="0.25">
      <c r="A3" s="8" t="s">
        <v>48</v>
      </c>
      <c r="B3" s="7"/>
      <c r="C3" s="7"/>
      <c r="D3" s="7"/>
      <c r="E3" s="7"/>
    </row>
    <row r="4" spans="1:5" x14ac:dyDescent="0.25">
      <c r="A4" s="9" t="s">
        <v>4</v>
      </c>
      <c r="B4" s="50">
        <v>10000</v>
      </c>
      <c r="C4" s="7" t="s">
        <v>8</v>
      </c>
      <c r="D4" s="7"/>
      <c r="E4" s="7"/>
    </row>
    <row r="5" spans="1:5" x14ac:dyDescent="0.25">
      <c r="A5" s="9" t="s">
        <v>7</v>
      </c>
      <c r="B5" s="34">
        <v>0.03</v>
      </c>
      <c r="C5" s="7"/>
      <c r="D5" s="7"/>
      <c r="E5" s="7"/>
    </row>
    <row r="6" spans="1:5" x14ac:dyDescent="0.25">
      <c r="A6" s="9" t="s">
        <v>9</v>
      </c>
      <c r="B6" s="11">
        <v>0.05</v>
      </c>
      <c r="C6" s="7"/>
      <c r="D6" s="7"/>
      <c r="E6" s="7"/>
    </row>
    <row r="7" spans="1:5" x14ac:dyDescent="0.25">
      <c r="A7" s="9" t="s">
        <v>3</v>
      </c>
      <c r="B7" s="10">
        <v>60</v>
      </c>
      <c r="C7" s="7" t="s">
        <v>1</v>
      </c>
      <c r="D7" s="12"/>
      <c r="E7" s="7"/>
    </row>
    <row r="8" spans="1:5" x14ac:dyDescent="0.25">
      <c r="A8" s="9" t="s">
        <v>2</v>
      </c>
      <c r="B8" s="10">
        <v>130</v>
      </c>
      <c r="C8" s="7" t="s">
        <v>1</v>
      </c>
      <c r="D8" s="12"/>
      <c r="E8" s="7"/>
    </row>
    <row r="10" spans="1:5" ht="30" x14ac:dyDescent="0.25">
      <c r="A10" s="35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xSplit="3" ySplit="23" topLeftCell="D24" activePane="bottomRight" state="frozen"/>
      <selection pane="topRight" activeCell="C1" sqref="C1"/>
      <selection pane="bottomLeft" activeCell="A12" sqref="A12"/>
      <selection pane="bottomRight" activeCell="A29" sqref="A29"/>
    </sheetView>
  </sheetViews>
  <sheetFormatPr defaultRowHeight="15" outlineLevelRow="1" x14ac:dyDescent="0.25"/>
  <cols>
    <col min="1" max="1" width="44.140625" style="6" customWidth="1"/>
    <col min="2" max="3" width="28.140625" style="46" customWidth="1"/>
    <col min="4" max="5" width="28.140625" style="44" customWidth="1"/>
  </cols>
  <sheetData>
    <row r="1" spans="1:5" s="4" customFormat="1" ht="60" x14ac:dyDescent="0.25">
      <c r="A1" s="15" t="s">
        <v>38</v>
      </c>
      <c r="B1" s="36" t="s">
        <v>49</v>
      </c>
      <c r="C1" s="36" t="s">
        <v>50</v>
      </c>
      <c r="D1" s="36" t="s">
        <v>51</v>
      </c>
      <c r="E1" s="36" t="s">
        <v>52</v>
      </c>
    </row>
    <row r="2" spans="1:5" x14ac:dyDescent="0.25">
      <c r="A2" s="6" t="s">
        <v>59</v>
      </c>
      <c r="B2" s="38">
        <f>C2</f>
        <v>10000</v>
      </c>
      <c r="C2" s="37">
        <f>'Kenttallen gemeente'!B4</f>
        <v>10000</v>
      </c>
      <c r="D2" s="38">
        <f>C2</f>
        <v>10000</v>
      </c>
      <c r="E2" s="38">
        <f>D2</f>
        <v>10000</v>
      </c>
    </row>
    <row r="3" spans="1:5" x14ac:dyDescent="0.25">
      <c r="A3" s="6" t="s">
        <v>39</v>
      </c>
      <c r="B3" s="47">
        <f>C3</f>
        <v>0.03</v>
      </c>
      <c r="C3" s="47">
        <f>'Kenttallen gemeente'!B5</f>
        <v>0.03</v>
      </c>
      <c r="D3" s="48">
        <f>C3+0.02</f>
        <v>0.05</v>
      </c>
      <c r="E3" s="48">
        <f>C3-0.02</f>
        <v>9.9999999999999985E-3</v>
      </c>
    </row>
    <row r="4" spans="1:5" x14ac:dyDescent="0.25">
      <c r="A4" s="6" t="s">
        <v>47</v>
      </c>
      <c r="B4" s="51">
        <v>0.15</v>
      </c>
      <c r="C4" s="47">
        <f>'Kenttallen gemeente'!B6</f>
        <v>0.05</v>
      </c>
      <c r="D4" s="48">
        <f>C4</f>
        <v>0.05</v>
      </c>
      <c r="E4" s="48">
        <f>D4</f>
        <v>0.05</v>
      </c>
    </row>
    <row r="5" spans="1:5" ht="30" outlineLevel="1" x14ac:dyDescent="0.25">
      <c r="A5" s="6" t="s">
        <v>35</v>
      </c>
      <c r="B5" s="49">
        <f>1-B6</f>
        <v>0.99999057416889836</v>
      </c>
      <c r="C5" s="49">
        <f>1-C6</f>
        <v>0.76208098201033636</v>
      </c>
      <c r="D5" s="49">
        <f t="shared" ref="D5:E5" si="0">1-D6</f>
        <v>0.5</v>
      </c>
      <c r="E5" s="49">
        <f t="shared" si="0"/>
        <v>0.99999057416889836</v>
      </c>
    </row>
    <row r="6" spans="1:5" ht="45" outlineLevel="1" x14ac:dyDescent="0.25">
      <c r="A6" s="6" t="s">
        <v>36</v>
      </c>
      <c r="B6" s="47">
        <f>NORMDIST(B3,B4,B3*0.935,TRUE)</f>
        <v>9.4258311016298779E-6</v>
      </c>
      <c r="C6" s="47">
        <f>NORMDIST(C3,C4,C3*0.935,TRUE)</f>
        <v>0.23791901798966367</v>
      </c>
      <c r="D6" s="47">
        <f>NORMDIST(D3,D4,D3*0.935,TRUE)</f>
        <v>0.5</v>
      </c>
      <c r="E6" s="47">
        <f>NORMDIST(E3,E4,E3*0.935,TRUE)</f>
        <v>9.4258311016298051E-6</v>
      </c>
    </row>
    <row r="7" spans="1:5" x14ac:dyDescent="0.25">
      <c r="A7" s="6" t="s">
        <v>40</v>
      </c>
      <c r="B7" s="37">
        <f>B2*B5</f>
        <v>9999.9057416889827</v>
      </c>
      <c r="C7" s="37">
        <f>C2*C5</f>
        <v>7620.8098201033636</v>
      </c>
      <c r="D7" s="37">
        <f>D2*D5</f>
        <v>5000</v>
      </c>
      <c r="E7" s="37">
        <f>E2*E5</f>
        <v>9999.9057416889827</v>
      </c>
    </row>
    <row r="8" spans="1:5" ht="30" hidden="1" outlineLevel="1" x14ac:dyDescent="0.25">
      <c r="A8" s="6" t="s">
        <v>43</v>
      </c>
      <c r="B8" s="37">
        <f>B2-B7</f>
        <v>9.4258311017256347E-2</v>
      </c>
      <c r="C8" s="37">
        <f>C2-C7</f>
        <v>2379.1901798966364</v>
      </c>
      <c r="D8" s="37">
        <f>D2-D7</f>
        <v>5000</v>
      </c>
      <c r="E8" s="37">
        <f>E2-E7</f>
        <v>9.4258311017256347E-2</v>
      </c>
    </row>
    <row r="9" spans="1:5" collapsed="1" x14ac:dyDescent="0.25"/>
    <row r="10" spans="1:5" ht="45" x14ac:dyDescent="0.25">
      <c r="A10" s="15" t="s">
        <v>42</v>
      </c>
      <c r="B10" s="36" t="s">
        <v>49</v>
      </c>
      <c r="C10" s="36" t="s">
        <v>50</v>
      </c>
      <c r="D10" s="36" t="s">
        <v>44</v>
      </c>
      <c r="E10" s="36" t="s">
        <v>45</v>
      </c>
    </row>
    <row r="11" spans="1:5" hidden="1" outlineLevel="1" x14ac:dyDescent="0.25">
      <c r="A11" s="6" t="s">
        <v>33</v>
      </c>
      <c r="B11" s="40">
        <f>C11</f>
        <v>60</v>
      </c>
      <c r="C11" s="39">
        <f>'Kenttallen gemeente'!B7</f>
        <v>60</v>
      </c>
      <c r="D11" s="40">
        <f>C11</f>
        <v>60</v>
      </c>
      <c r="E11" s="40">
        <f t="shared" ref="E11:E12" si="1">D11</f>
        <v>60</v>
      </c>
    </row>
    <row r="12" spans="1:5" hidden="1" outlineLevel="1" x14ac:dyDescent="0.25">
      <c r="A12" s="6" t="s">
        <v>34</v>
      </c>
      <c r="B12" s="41">
        <f>C12</f>
        <v>130</v>
      </c>
      <c r="C12" s="41">
        <f>'Kenttallen gemeente'!B8</f>
        <v>130</v>
      </c>
      <c r="D12" s="40">
        <f>C12</f>
        <v>130</v>
      </c>
      <c r="E12" s="40">
        <f t="shared" si="1"/>
        <v>130</v>
      </c>
    </row>
    <row r="13" spans="1:5" ht="30" hidden="1" outlineLevel="1" x14ac:dyDescent="0.25">
      <c r="A13" s="6" t="s">
        <v>41</v>
      </c>
      <c r="B13" s="42">
        <f>(B7*B11+B8*B12)/B2</f>
        <v>60.000659808177126</v>
      </c>
      <c r="C13" s="42">
        <f>(C7*C11+C8*C12)/C2</f>
        <v>76.654331259276461</v>
      </c>
      <c r="D13" s="42">
        <f>(D7*D11+D8*D12)/D2</f>
        <v>95</v>
      </c>
      <c r="E13" s="42">
        <f>(E7*E11+E8*E12)/E2</f>
        <v>60.000659808177126</v>
      </c>
    </row>
    <row r="14" spans="1:5" ht="20.100000000000001" customHeight="1" collapsed="1" x14ac:dyDescent="0.25">
      <c r="A14" s="16" t="s">
        <v>53</v>
      </c>
      <c r="B14" s="41">
        <f>(B11*B7)</f>
        <v>599994.34450133902</v>
      </c>
      <c r="C14" s="41">
        <f>(C11*C7)</f>
        <v>457248.58920620184</v>
      </c>
      <c r="D14" s="41">
        <f t="shared" ref="D14:E14" si="2">(D11*D7)</f>
        <v>300000</v>
      </c>
      <c r="E14" s="41">
        <f t="shared" si="2"/>
        <v>599994.34450133902</v>
      </c>
    </row>
    <row r="15" spans="1:5" x14ac:dyDescent="0.25">
      <c r="A15" s="16" t="s">
        <v>54</v>
      </c>
      <c r="B15" s="41">
        <f t="shared" ref="B15" si="3">B8*B12</f>
        <v>12.253580432243325</v>
      </c>
      <c r="C15" s="41">
        <f>C8*C12</f>
        <v>309294.72338656272</v>
      </c>
      <c r="D15" s="41">
        <f t="shared" ref="D15:E15" si="4">D8*D12</f>
        <v>650000</v>
      </c>
      <c r="E15" s="41">
        <f t="shared" si="4"/>
        <v>12.253580432243325</v>
      </c>
    </row>
    <row r="16" spans="1:5" ht="30" x14ac:dyDescent="0.25">
      <c r="A16" s="16" t="s">
        <v>56</v>
      </c>
      <c r="B16" s="41">
        <f>(B11*B7)/B$2</f>
        <v>59.999434450133904</v>
      </c>
      <c r="C16" s="41">
        <f>(C11*C7)/C$2</f>
        <v>45.724858920620186</v>
      </c>
      <c r="D16" s="41">
        <f t="shared" ref="D16:E16" si="5">(D11*D7)/D$2</f>
        <v>30</v>
      </c>
      <c r="E16" s="41">
        <f t="shared" si="5"/>
        <v>59.999434450133904</v>
      </c>
    </row>
    <row r="17" spans="1:5" ht="30" x14ac:dyDescent="0.25">
      <c r="A17" s="16" t="s">
        <v>55</v>
      </c>
      <c r="B17" s="41">
        <f>(B12*B8)/B$2</f>
        <v>1.2253580432243325E-3</v>
      </c>
      <c r="C17" s="41">
        <f>(C12*C8)/C$2</f>
        <v>30.929472338656272</v>
      </c>
      <c r="D17" s="41">
        <f t="shared" ref="D17:E17" si="6">(D12*D8)/D$2</f>
        <v>65</v>
      </c>
      <c r="E17" s="41">
        <f t="shared" si="6"/>
        <v>1.2253580432243325E-3</v>
      </c>
    </row>
    <row r="18" spans="1:5" ht="30" x14ac:dyDescent="0.25">
      <c r="A18" s="16" t="s">
        <v>57</v>
      </c>
      <c r="B18" s="41">
        <f>B17+B16</f>
        <v>60.000659808177126</v>
      </c>
      <c r="C18" s="41">
        <f>C17+C16</f>
        <v>76.654331259276461</v>
      </c>
      <c r="D18" s="41">
        <f t="shared" ref="D18:E18" si="7">D17+D16</f>
        <v>95</v>
      </c>
      <c r="E18" s="41">
        <f t="shared" si="7"/>
        <v>60.000659808177126</v>
      </c>
    </row>
    <row r="19" spans="1:5" ht="30" x14ac:dyDescent="0.25">
      <c r="A19" s="16" t="s">
        <v>58</v>
      </c>
      <c r="B19" s="41">
        <f>B15+B14</f>
        <v>600006.59808177128</v>
      </c>
      <c r="C19" s="41">
        <f>C15+C14</f>
        <v>766543.31259276462</v>
      </c>
      <c r="D19" s="41">
        <f>D15+D14</f>
        <v>950000</v>
      </c>
      <c r="E19" s="41">
        <f>E15+E14</f>
        <v>600006.59808177128</v>
      </c>
    </row>
    <row r="20" spans="1:5" x14ac:dyDescent="0.25">
      <c r="B20" s="43"/>
      <c r="C20" s="43"/>
    </row>
    <row r="21" spans="1:5" x14ac:dyDescent="0.25">
      <c r="A21" s="52" t="s">
        <v>60</v>
      </c>
      <c r="B21" s="45"/>
      <c r="C21" s="45"/>
    </row>
    <row r="22" spans="1:5" x14ac:dyDescent="0.25">
      <c r="A22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J31"/>
  <sheetViews>
    <sheetView zoomScale="85" zoomScaleNormal="85" workbookViewId="0">
      <pane xSplit="1" ySplit="17" topLeftCell="B18" activePane="bottomRight" state="frozen"/>
      <selection pane="topRight" activeCell="B1" sqref="B1"/>
      <selection pane="bottomLeft" activeCell="A13" sqref="A13"/>
      <selection pane="bottomRight" activeCell="C31" sqref="C31"/>
    </sheetView>
  </sheetViews>
  <sheetFormatPr defaultColWidth="8.7109375" defaultRowHeight="15" x14ac:dyDescent="0.25"/>
  <cols>
    <col min="1" max="1" width="50.5703125" style="5" customWidth="1"/>
    <col min="2" max="2" width="20" style="7" customWidth="1"/>
    <col min="3" max="3" width="10.140625" style="7" customWidth="1"/>
    <col min="4" max="4" width="11" style="7" customWidth="1"/>
    <col min="5" max="62" width="9.140625" style="7" bestFit="1" customWidth="1"/>
    <col min="63" max="16384" width="8.7109375" style="7"/>
  </cols>
  <sheetData>
    <row r="1" spans="1:6" x14ac:dyDescent="0.25">
      <c r="A1" s="13" t="s">
        <v>13</v>
      </c>
    </row>
    <row r="2" spans="1:6" x14ac:dyDescent="0.25">
      <c r="A2" s="7" t="s">
        <v>10</v>
      </c>
      <c r="B2" s="7" t="s">
        <v>12</v>
      </c>
      <c r="C2" s="7">
        <v>2018</v>
      </c>
      <c r="D2" s="7">
        <v>2019</v>
      </c>
    </row>
    <row r="3" spans="1:6" x14ac:dyDescent="0.25">
      <c r="A3" s="4" t="s">
        <v>11</v>
      </c>
      <c r="B3" s="19">
        <f>AVERAGE(C3:D3)</f>
        <v>3.0300000000000001E-2</v>
      </c>
      <c r="C3" s="28">
        <v>2.46E-2</v>
      </c>
      <c r="D3" s="29">
        <v>3.5999999999999997E-2</v>
      </c>
      <c r="E3" s="20"/>
      <c r="F3" s="21"/>
    </row>
    <row r="4" spans="1:6" x14ac:dyDescent="0.25">
      <c r="A4" s="4" t="s">
        <v>29</v>
      </c>
      <c r="C4" s="22">
        <v>0.14000000000000001</v>
      </c>
      <c r="D4" s="22">
        <v>0.113</v>
      </c>
      <c r="E4" s="23"/>
      <c r="F4" s="21"/>
    </row>
    <row r="5" spans="1:6" x14ac:dyDescent="0.25">
      <c r="A5" s="4" t="s">
        <v>14</v>
      </c>
      <c r="C5" s="22">
        <v>0.41399999999999998</v>
      </c>
      <c r="D5" s="22">
        <v>0.39700000000000002</v>
      </c>
      <c r="E5" s="23"/>
      <c r="F5" s="21"/>
    </row>
    <row r="6" spans="1:6" x14ac:dyDescent="0.25">
      <c r="A6" s="5" t="s">
        <v>6</v>
      </c>
      <c r="B6" s="24">
        <f>AVERAGE(C6:D6)</f>
        <v>4.4149728997289976</v>
      </c>
      <c r="C6" s="25">
        <f>C4/C3</f>
        <v>5.691056910569106</v>
      </c>
      <c r="D6" s="25">
        <f>D4/D3</f>
        <v>3.1388888888888893</v>
      </c>
      <c r="E6" s="25"/>
      <c r="F6" s="25"/>
    </row>
    <row r="7" spans="1:6" s="2" customFormat="1" x14ac:dyDescent="0.25">
      <c r="A7" s="3"/>
      <c r="B7" s="19"/>
      <c r="C7" s="14"/>
      <c r="D7" s="14"/>
      <c r="E7" s="25"/>
      <c r="F7" s="25"/>
    </row>
    <row r="8" spans="1:6" s="2" customFormat="1" x14ac:dyDescent="0.25">
      <c r="A8" s="30" t="s">
        <v>17</v>
      </c>
      <c r="B8" s="31">
        <v>0.93500000000000005</v>
      </c>
      <c r="C8" s="14" t="s">
        <v>28</v>
      </c>
      <c r="D8" s="14"/>
      <c r="E8" s="25"/>
      <c r="F8" s="25"/>
    </row>
    <row r="9" spans="1:6" s="2" customFormat="1" x14ac:dyDescent="0.25">
      <c r="A9" s="3" t="s">
        <v>18</v>
      </c>
      <c r="B9" s="32">
        <f>B8*'Kenttallen gemeente'!B5</f>
        <v>2.8050000000000002E-2</v>
      </c>
      <c r="C9" s="14"/>
      <c r="D9" s="14"/>
      <c r="E9" s="25"/>
      <c r="F9" s="25"/>
    </row>
    <row r="10" spans="1:6" s="2" customFormat="1" x14ac:dyDescent="0.25">
      <c r="A10" s="3"/>
      <c r="B10" s="32"/>
      <c r="C10" s="14"/>
      <c r="D10" s="14"/>
      <c r="E10" s="25"/>
      <c r="F10" s="25"/>
    </row>
    <row r="11" spans="1:6" x14ac:dyDescent="0.25">
      <c r="A11" s="13" t="s">
        <v>23</v>
      </c>
      <c r="C11" s="7">
        <v>0</v>
      </c>
      <c r="D11" s="7">
        <v>200</v>
      </c>
    </row>
    <row r="12" spans="1:6" x14ac:dyDescent="0.25">
      <c r="C12" s="33">
        <f>'Kenttallen gemeente'!B5</f>
        <v>0.03</v>
      </c>
      <c r="D12" s="33">
        <f>C12</f>
        <v>0.03</v>
      </c>
    </row>
    <row r="13" spans="1:6" x14ac:dyDescent="0.25">
      <c r="C13" s="33"/>
      <c r="D13" s="33"/>
    </row>
    <row r="14" spans="1:6" x14ac:dyDescent="0.25">
      <c r="A14" s="13" t="s">
        <v>37</v>
      </c>
      <c r="C14" s="7">
        <v>0</v>
      </c>
      <c r="D14" s="7">
        <v>200</v>
      </c>
    </row>
    <row r="15" spans="1:6" x14ac:dyDescent="0.25">
      <c r="C15" s="33">
        <f>'Kenttallen gemeente'!B6</f>
        <v>0.05</v>
      </c>
      <c r="D15" s="33">
        <f>C15</f>
        <v>0.05</v>
      </c>
    </row>
    <row r="16" spans="1:6" s="2" customFormat="1" x14ac:dyDescent="0.25">
      <c r="A16" s="3"/>
      <c r="D16" s="25"/>
      <c r="E16" s="25"/>
      <c r="F16" s="25"/>
    </row>
    <row r="17" spans="1:62" x14ac:dyDescent="0.25">
      <c r="A17" s="13" t="s">
        <v>22</v>
      </c>
      <c r="B17" s="26">
        <v>0</v>
      </c>
      <c r="C17" s="26">
        <v>5.0000000000000001E-3</v>
      </c>
      <c r="D17" s="26">
        <v>0.01</v>
      </c>
      <c r="E17" s="26">
        <v>1.4999999999999999E-2</v>
      </c>
      <c r="F17" s="26">
        <v>0.02</v>
      </c>
      <c r="G17" s="26">
        <v>2.5000000000000001E-2</v>
      </c>
      <c r="H17" s="26">
        <v>0.03</v>
      </c>
      <c r="I17" s="26">
        <v>3.5000000000000003E-2</v>
      </c>
      <c r="J17" s="26">
        <v>0.04</v>
      </c>
      <c r="K17" s="26">
        <v>4.4999999999999998E-2</v>
      </c>
      <c r="L17" s="26">
        <v>0.05</v>
      </c>
      <c r="M17" s="26">
        <v>5.5E-2</v>
      </c>
      <c r="N17" s="26">
        <v>0.06</v>
      </c>
      <c r="O17" s="26">
        <v>6.5000000000000002E-2</v>
      </c>
      <c r="P17" s="26">
        <v>7.0000000000000007E-2</v>
      </c>
      <c r="Q17" s="26">
        <v>7.4999999999999997E-2</v>
      </c>
      <c r="R17" s="26">
        <v>0.08</v>
      </c>
      <c r="S17" s="26">
        <v>8.5000000000000006E-2</v>
      </c>
      <c r="T17" s="26">
        <v>0.09</v>
      </c>
      <c r="U17" s="26">
        <v>9.5000000000000001E-2</v>
      </c>
      <c r="V17" s="26">
        <v>0.1</v>
      </c>
      <c r="W17" s="26">
        <v>0.105</v>
      </c>
      <c r="X17" s="26">
        <v>0.11</v>
      </c>
      <c r="Y17" s="26">
        <v>0.115</v>
      </c>
      <c r="Z17" s="26">
        <v>0.12</v>
      </c>
      <c r="AA17" s="26">
        <v>0.125</v>
      </c>
      <c r="AB17" s="26">
        <v>0.13</v>
      </c>
      <c r="AC17" s="26">
        <v>0.13500000000000001</v>
      </c>
      <c r="AD17" s="26">
        <v>0.14000000000000001</v>
      </c>
      <c r="AE17" s="26">
        <v>0.14499999999999999</v>
      </c>
      <c r="AF17" s="26">
        <v>0.15</v>
      </c>
      <c r="AG17" s="26">
        <v>0.155</v>
      </c>
      <c r="AH17" s="26">
        <v>0.16</v>
      </c>
      <c r="AI17" s="26">
        <v>0.16500000000000001</v>
      </c>
      <c r="AJ17" s="26">
        <v>0.17</v>
      </c>
      <c r="AK17" s="26">
        <v>0.17499999999999999</v>
      </c>
      <c r="AL17" s="26">
        <v>0.18</v>
      </c>
      <c r="AM17" s="26">
        <v>0.185</v>
      </c>
      <c r="AN17" s="26">
        <v>0.19</v>
      </c>
      <c r="AO17" s="26">
        <v>0.19500000000000001</v>
      </c>
      <c r="AP17" s="26">
        <v>0.2</v>
      </c>
      <c r="AQ17" s="26">
        <v>0.20499999999999999</v>
      </c>
      <c r="AR17" s="26">
        <v>0.21</v>
      </c>
      <c r="AS17" s="26">
        <v>0.215</v>
      </c>
      <c r="AT17" s="26">
        <v>0.22</v>
      </c>
      <c r="AU17" s="26">
        <v>0.22500000000000001</v>
      </c>
      <c r="AV17" s="26">
        <v>0.23</v>
      </c>
      <c r="AW17" s="26">
        <v>0.23499999999999999</v>
      </c>
      <c r="AX17" s="26">
        <v>0.24</v>
      </c>
      <c r="AY17" s="26">
        <v>0.245</v>
      </c>
      <c r="AZ17" s="26">
        <v>0.25</v>
      </c>
      <c r="BA17" s="26">
        <v>0.255</v>
      </c>
      <c r="BB17" s="26">
        <v>0.26</v>
      </c>
      <c r="BC17" s="26">
        <v>0.26500000000000001</v>
      </c>
      <c r="BD17" s="26">
        <v>0.27</v>
      </c>
      <c r="BE17" s="26">
        <v>0.27500000000000002</v>
      </c>
      <c r="BF17" s="26">
        <v>0.28000000000000003</v>
      </c>
      <c r="BG17" s="26">
        <v>0.28499999999999998</v>
      </c>
      <c r="BH17" s="26">
        <v>0.28999999999999998</v>
      </c>
      <c r="BI17" s="26">
        <v>0.29499999999999998</v>
      </c>
      <c r="BJ17" s="26">
        <v>0.3</v>
      </c>
    </row>
    <row r="19" spans="1:62" x14ac:dyDescent="0.25">
      <c r="A19" s="13" t="s">
        <v>0</v>
      </c>
    </row>
    <row r="20" spans="1:62" x14ac:dyDescent="0.25">
      <c r="A20" s="5" t="s">
        <v>5</v>
      </c>
      <c r="B20" s="27">
        <f>IF(B17&lt;'Kenttallen gemeente'!$B6,4*B17,1)</f>
        <v>0</v>
      </c>
      <c r="C20" s="27">
        <f>IF(C17&lt;'Kenttallen gemeente'!$B6,4*C17,1)</f>
        <v>0.02</v>
      </c>
      <c r="D20" s="27">
        <f>IF(D17&lt;'Kenttallen gemeente'!$B6,4*D17,1)</f>
        <v>0.04</v>
      </c>
      <c r="E20" s="27">
        <f>IF(E17&lt;'Kenttallen gemeente'!$B6,4*E17,1)</f>
        <v>0.06</v>
      </c>
      <c r="F20" s="27">
        <f>IF(F17&lt;'Kenttallen gemeente'!$B6,4*F17,1)</f>
        <v>0.08</v>
      </c>
      <c r="G20" s="27">
        <f>IF(G17&lt;'Kenttallen gemeente'!$B6,4*G17,1)</f>
        <v>0.1</v>
      </c>
      <c r="H20" s="27">
        <f>IF(H17&lt;'Kenttallen gemeente'!$B6,4*H17,1)</f>
        <v>0.12</v>
      </c>
      <c r="I20" s="27">
        <f>IF(I17&lt;'Kenttallen gemeente'!$B6,4*I17,1)</f>
        <v>0.14000000000000001</v>
      </c>
      <c r="J20" s="27">
        <f>IF(J17&lt;'Kenttallen gemeente'!$B6,4*J17,1)</f>
        <v>0.16</v>
      </c>
      <c r="K20" s="27">
        <f>IF(K17&lt;'Kenttallen gemeente'!$B6,4*K17,1)</f>
        <v>0.18</v>
      </c>
      <c r="L20" s="27">
        <f>IF(L17&lt;'Kenttallen gemeente'!$B6,4*L17,1)</f>
        <v>1</v>
      </c>
      <c r="M20" s="27">
        <f>IF(M17&lt;'Kenttallen gemeente'!$B6,4*M17,1)</f>
        <v>1</v>
      </c>
      <c r="N20" s="27">
        <f>IF(N17&lt;'Kenttallen gemeente'!$B6,4*N17,1)</f>
        <v>1</v>
      </c>
      <c r="O20" s="27">
        <f>IF(O17&lt;'Kenttallen gemeente'!$B6,4*O17,1)</f>
        <v>1</v>
      </c>
      <c r="P20" s="27">
        <f>IF(P17&lt;'Kenttallen gemeente'!$B6,4*P17,1)</f>
        <v>1</v>
      </c>
      <c r="Q20" s="27">
        <f>IF(Q17&lt;'Kenttallen gemeente'!$B6,4*Q17,1)</f>
        <v>1</v>
      </c>
      <c r="R20" s="27">
        <f>IF(R17&lt;'Kenttallen gemeente'!$B6,4*R17,1)</f>
        <v>1</v>
      </c>
      <c r="S20" s="27">
        <f>IF(S17&lt;'Kenttallen gemeente'!$B6,4*S17,1)</f>
        <v>1</v>
      </c>
      <c r="T20" s="27">
        <f>IF(T17&lt;'Kenttallen gemeente'!$B6,4*T17,1)</f>
        <v>1</v>
      </c>
      <c r="U20" s="27">
        <f>IF(U17&lt;'Kenttallen gemeente'!$B6,4*U17,1)</f>
        <v>1</v>
      </c>
      <c r="V20" s="27">
        <f>IF(V17&lt;'Kenttallen gemeente'!$B6,4*V17,1)</f>
        <v>1</v>
      </c>
      <c r="W20" s="27">
        <f>IF(W17&lt;'Kenttallen gemeente'!$B6,4*W17,1)</f>
        <v>1</v>
      </c>
      <c r="X20" s="27">
        <f>IF(X17&lt;'Kenttallen gemeente'!$B6,4*X17,1)</f>
        <v>1</v>
      </c>
      <c r="Y20" s="27">
        <f>IF(Y17&lt;'Kenttallen gemeente'!$B6,4*Y17,1)</f>
        <v>1</v>
      </c>
      <c r="Z20" s="27">
        <f>IF(Z17&lt;'Kenttallen gemeente'!$B6,4*Z17,1)</f>
        <v>1</v>
      </c>
      <c r="AA20" s="27">
        <f>IF(AA17&lt;'Kenttallen gemeente'!$B6,4*AA17,1)</f>
        <v>1</v>
      </c>
      <c r="AB20" s="27">
        <f>IF(AB17&lt;'Kenttallen gemeente'!$B6,4*AB17,1)</f>
        <v>1</v>
      </c>
      <c r="AC20" s="27">
        <f>IF(AC17&lt;'Kenttallen gemeente'!$B6,4*AC17,1)</f>
        <v>1</v>
      </c>
      <c r="AD20" s="27">
        <f>IF(AD17&lt;'Kenttallen gemeente'!$B6,4*AD17,1)</f>
        <v>1</v>
      </c>
      <c r="AE20" s="27">
        <f>IF(AE17&lt;'Kenttallen gemeente'!$B6,4*AE17,1)</f>
        <v>1</v>
      </c>
      <c r="AF20" s="27">
        <f>IF(AF17&lt;'Kenttallen gemeente'!$B6,4*AF17,1)</f>
        <v>1</v>
      </c>
      <c r="AG20" s="27">
        <f>IF(AG17&lt;'Kenttallen gemeente'!$B6,4*AG17,1)</f>
        <v>1</v>
      </c>
      <c r="AH20" s="27">
        <f>IF(AH17&lt;'Kenttallen gemeente'!$B6,4*AH17,1)</f>
        <v>1</v>
      </c>
      <c r="AI20" s="27">
        <f>IF(AI17&lt;'Kenttallen gemeente'!$B6,4*AI17,1)</f>
        <v>1</v>
      </c>
      <c r="AJ20" s="27">
        <f>IF(AJ17&lt;'Kenttallen gemeente'!$B6,4*AJ17,1)</f>
        <v>1</v>
      </c>
      <c r="AK20" s="27">
        <f>IF(AK17&lt;'Kenttallen gemeente'!$B6,4*AK17,1)</f>
        <v>1</v>
      </c>
      <c r="AL20" s="27">
        <f>IF(AL17&lt;'Kenttallen gemeente'!$B6,4*AL17,1)</f>
        <v>1</v>
      </c>
      <c r="AM20" s="27">
        <f>IF(AM17&lt;'Kenttallen gemeente'!$B6,4*AM17,1)</f>
        <v>1</v>
      </c>
      <c r="AN20" s="27">
        <f>IF(AN17&lt;'Kenttallen gemeente'!$B6,4*AN17,1)</f>
        <v>1</v>
      </c>
      <c r="AO20" s="27">
        <f>IF(AO17&lt;'Kenttallen gemeente'!$B6,4*AO17,1)</f>
        <v>1</v>
      </c>
      <c r="AP20" s="27">
        <f>IF(AP17&lt;'Kenttallen gemeente'!$B6,4*AP17,1)</f>
        <v>1</v>
      </c>
      <c r="AQ20" s="27">
        <f>IF(AQ17&lt;'Kenttallen gemeente'!$B6,4*AQ17,1)</f>
        <v>1</v>
      </c>
      <c r="AR20" s="27">
        <f>IF(AR17&lt;'Kenttallen gemeente'!$B6,4*AR17,1)</f>
        <v>1</v>
      </c>
      <c r="AS20" s="27">
        <f>IF(AS17&lt;'Kenttallen gemeente'!$B6,4*AS17,1)</f>
        <v>1</v>
      </c>
      <c r="AT20" s="27">
        <f>IF(AT17&lt;'Kenttallen gemeente'!$B6,4*AT17,1)</f>
        <v>1</v>
      </c>
      <c r="AU20" s="27">
        <f>IF(AU17&lt;'Kenttallen gemeente'!$B6,4*AU17,1)</f>
        <v>1</v>
      </c>
      <c r="AV20" s="27">
        <f>IF(AV17&lt;'Kenttallen gemeente'!$B6,4*AV17,1)</f>
        <v>1</v>
      </c>
      <c r="AW20" s="27">
        <f>IF(AW17&lt;'Kenttallen gemeente'!$B6,4*AW17,1)</f>
        <v>1</v>
      </c>
      <c r="AX20" s="27">
        <f>IF(AX17&lt;'Kenttallen gemeente'!$B6,4*AX17,1)</f>
        <v>1</v>
      </c>
      <c r="AY20" s="27">
        <f>IF(AY17&lt;'Kenttallen gemeente'!$B6,4*AY17,1)</f>
        <v>1</v>
      </c>
      <c r="AZ20" s="27">
        <f>IF(AZ17&lt;'Kenttallen gemeente'!$B6,4*AZ17,1)</f>
        <v>1</v>
      </c>
      <c r="BA20" s="27">
        <f>IF(BA17&lt;'Kenttallen gemeente'!$B6,4*BA17,1)</f>
        <v>1</v>
      </c>
      <c r="BB20" s="27">
        <f>IF(BB17&lt;'Kenttallen gemeente'!$B6,4*BB17,1)</f>
        <v>1</v>
      </c>
      <c r="BC20" s="27">
        <f>IF(BC17&lt;'Kenttallen gemeente'!$B6,4*BC17,1)</f>
        <v>1</v>
      </c>
      <c r="BD20" s="27">
        <f>IF(BD17&lt;'Kenttallen gemeente'!$B6,4*BD17,1)</f>
        <v>1</v>
      </c>
      <c r="BE20" s="27">
        <f>IF(BE17&lt;'Kenttallen gemeente'!$B6,4*BE17,1)</f>
        <v>1</v>
      </c>
      <c r="BF20" s="27">
        <f>IF(BF17&lt;'Kenttallen gemeente'!$B6,4*BF17,1)</f>
        <v>1</v>
      </c>
      <c r="BG20" s="27">
        <f>IF(BG17&lt;'Kenttallen gemeente'!$B6,4*BG17,1)</f>
        <v>1</v>
      </c>
      <c r="BH20" s="27">
        <f>IF(BH17&lt;'Kenttallen gemeente'!$B6,4*BH17,1)</f>
        <v>1</v>
      </c>
      <c r="BI20" s="27">
        <f>IF(BI17&lt;'Kenttallen gemeente'!$B6,4*BI17,1)</f>
        <v>1</v>
      </c>
      <c r="BJ20" s="27">
        <f>IF(BJ17&lt;'Kenttallen gemeente'!$B6,4*BJ17,1)</f>
        <v>1</v>
      </c>
    </row>
    <row r="21" spans="1:62" x14ac:dyDescent="0.25">
      <c r="A21" s="3" t="s">
        <v>16</v>
      </c>
      <c r="B21" s="27">
        <f>IF(B17&lt;'Kenttallen gemeente'!$B6,(1-$B6*B17),0)</f>
        <v>1</v>
      </c>
      <c r="C21" s="27">
        <f>IF(C17&lt;'Kenttallen gemeente'!$B6,(1-$B6*C17),0)</f>
        <v>0.97792513550135496</v>
      </c>
      <c r="D21" s="27">
        <f>IF(D17&lt;'Kenttallen gemeente'!$B6,(1-$B6*D17),0)</f>
        <v>0.95585027100271003</v>
      </c>
      <c r="E21" s="27">
        <f>IF(E17&lt;'Kenttallen gemeente'!$B6,(1-$B6*E17),0)</f>
        <v>0.9337754065040651</v>
      </c>
      <c r="F21" s="27">
        <f>IF(F17&lt;'Kenttallen gemeente'!$B6,(1-$B6*F17),0)</f>
        <v>0.91170054200542006</v>
      </c>
      <c r="G21" s="27">
        <f>IF(G17&lt;'Kenttallen gemeente'!$B6,(1-$B6*G17),0)</f>
        <v>0.88962567750677501</v>
      </c>
      <c r="H21" s="27">
        <f>IF(H17&lt;'Kenttallen gemeente'!$B6,(1-$B6*H17),0)</f>
        <v>0.86755081300813008</v>
      </c>
      <c r="I21" s="27">
        <f>IF(I17&lt;'Kenttallen gemeente'!$B6,(1-$B6*I17),0)</f>
        <v>0.84547594850948504</v>
      </c>
      <c r="J21" s="27">
        <f>IF(J17&lt;'Kenttallen gemeente'!$B6,(1-$B6*J17),0)</f>
        <v>0.82340108401084011</v>
      </c>
      <c r="K21" s="27">
        <f>IF(K17&lt;'Kenttallen gemeente'!$B6,(1-$B6*K17),0)</f>
        <v>0.80132621951219507</v>
      </c>
      <c r="L21" s="27">
        <f>IF(L17&lt;'Kenttallen gemeente'!$B6,(1-$B6*L17),0)</f>
        <v>0</v>
      </c>
      <c r="M21" s="27">
        <f>IF(M17&lt;'Kenttallen gemeente'!$B6,(1-$B6*M17),0)</f>
        <v>0</v>
      </c>
      <c r="N21" s="27">
        <f>IF(N17&lt;'Kenttallen gemeente'!$B6,(1-$B6*N17),0)</f>
        <v>0</v>
      </c>
      <c r="O21" s="27">
        <f>IF(O17&lt;'Kenttallen gemeente'!$B6,(1-$B6*O17),0)</f>
        <v>0</v>
      </c>
      <c r="P21" s="27">
        <f>IF(P17&lt;'Kenttallen gemeente'!$B6,(1-$B6*P17),0)</f>
        <v>0</v>
      </c>
      <c r="Q21" s="27">
        <f>IF(Q17&lt;'Kenttallen gemeente'!$B6,(1-$B6*Q17),0)</f>
        <v>0</v>
      </c>
      <c r="R21" s="27">
        <f>IF(R17&lt;'Kenttallen gemeente'!$B6,(1-$B6*R17),0)</f>
        <v>0</v>
      </c>
      <c r="S21" s="27">
        <f>IF(S17&lt;'Kenttallen gemeente'!$B6,(1-$B6*S17),0)</f>
        <v>0</v>
      </c>
      <c r="T21" s="27">
        <f>IF(T17&lt;'Kenttallen gemeente'!$B6,(1-$B6*T17),0)</f>
        <v>0</v>
      </c>
      <c r="U21" s="27">
        <f>IF(U17&lt;'Kenttallen gemeente'!$B6,(1-$B6*U17),0)</f>
        <v>0</v>
      </c>
      <c r="V21" s="27">
        <f>IF(V17&lt;'Kenttallen gemeente'!$B6,(1-$B6*V17),0)</f>
        <v>0</v>
      </c>
      <c r="W21" s="27">
        <f>IF(W17&lt;'Kenttallen gemeente'!$B6,(1-$B6*W17),0)</f>
        <v>0</v>
      </c>
      <c r="X21" s="27">
        <f>IF(X17&lt;'Kenttallen gemeente'!$B6,(1-$B6*X17),0)</f>
        <v>0</v>
      </c>
      <c r="Y21" s="27">
        <f>IF(Y17&lt;'Kenttallen gemeente'!$B6,(1-$B6*Y17),0)</f>
        <v>0</v>
      </c>
      <c r="Z21" s="27">
        <f>IF(Z17&lt;'Kenttallen gemeente'!$B6,(1-$B6*Z17),0)</f>
        <v>0</v>
      </c>
      <c r="AA21" s="27">
        <f>IF(AA17&lt;'Kenttallen gemeente'!$B6,(1-$B6*AA17),0)</f>
        <v>0</v>
      </c>
      <c r="AB21" s="27">
        <f>IF(AB17&lt;'Kenttallen gemeente'!$B6,(1-$B6*AB17),0)</f>
        <v>0</v>
      </c>
      <c r="AC21" s="27">
        <f>IF(AC17&lt;'Kenttallen gemeente'!$B6,(1-$B6*AC17),0)</f>
        <v>0</v>
      </c>
      <c r="AD21" s="27">
        <f>IF(AD17&lt;'Kenttallen gemeente'!$B6,(1-$B6*AD17),0)</f>
        <v>0</v>
      </c>
      <c r="AE21" s="27">
        <f>IF(AE17&lt;'Kenttallen gemeente'!$B6,(1-$B6*AE17),0)</f>
        <v>0</v>
      </c>
      <c r="AF21" s="27">
        <f>IF(AF17&lt;'Kenttallen gemeente'!$B6,(1-$B6*AF17),0)</f>
        <v>0</v>
      </c>
      <c r="AG21" s="27">
        <f>IF(AG17&lt;'Kenttallen gemeente'!$B6,(1-$B6*AG17),0)</f>
        <v>0</v>
      </c>
      <c r="AH21" s="27">
        <f>IF(AH17&lt;'Kenttallen gemeente'!$B6,(1-$B6*AH17),0)</f>
        <v>0</v>
      </c>
      <c r="AI21" s="27">
        <f>IF(AI17&lt;'Kenttallen gemeente'!$B6,(1-$B6*AI17),0)</f>
        <v>0</v>
      </c>
      <c r="AJ21" s="27">
        <f>IF(AJ17&lt;'Kenttallen gemeente'!$B6,(1-$B6*AJ17),0)</f>
        <v>0</v>
      </c>
      <c r="AK21" s="27">
        <f>IF(AK17&lt;'Kenttallen gemeente'!$B6,(1-$B6*AK17),0)</f>
        <v>0</v>
      </c>
      <c r="AL21" s="27">
        <f>IF(AL17&lt;'Kenttallen gemeente'!$B6,(1-$B6*AL17),0)</f>
        <v>0</v>
      </c>
      <c r="AM21" s="27">
        <f>IF(AM17&lt;'Kenttallen gemeente'!$B6,(1-$B6*AM17),0)</f>
        <v>0</v>
      </c>
      <c r="AN21" s="27">
        <f>IF(AN17&lt;'Kenttallen gemeente'!$B6,(1-$B6*AN17),0)</f>
        <v>0</v>
      </c>
      <c r="AO21" s="27">
        <f>IF(AO17&lt;'Kenttallen gemeente'!$B6,(1-$B6*AO17),0)</f>
        <v>0</v>
      </c>
      <c r="AP21" s="27">
        <f>IF(AP17&lt;'Kenttallen gemeente'!$B6,(1-$B6*AP17),0)</f>
        <v>0</v>
      </c>
      <c r="AQ21" s="27">
        <f>IF(AQ17&lt;'Kenttallen gemeente'!$B6,(1-$B6*AQ17),0)</f>
        <v>0</v>
      </c>
      <c r="AR21" s="27">
        <f>IF(AR17&lt;'Kenttallen gemeente'!$B6,(1-$B6*AR17),0)</f>
        <v>0</v>
      </c>
      <c r="AS21" s="27">
        <f>IF(AS17&lt;'Kenttallen gemeente'!$B6,(1-$B6*AS17),0)</f>
        <v>0</v>
      </c>
      <c r="AT21" s="27">
        <f>IF(AT17&lt;'Kenttallen gemeente'!$B6,(1-$B6*AT17),0)</f>
        <v>0</v>
      </c>
      <c r="AU21" s="27">
        <f>IF(AU17&lt;'Kenttallen gemeente'!$B6,(1-$B6*AU17),0)</f>
        <v>0</v>
      </c>
      <c r="AV21" s="27">
        <f>IF(AV17&lt;'Kenttallen gemeente'!$B6,(1-$B6*AV17),0)</f>
        <v>0</v>
      </c>
      <c r="AW21" s="27">
        <f>IF(AW17&lt;'Kenttallen gemeente'!$B6,(1-$B6*AW17),0)</f>
        <v>0</v>
      </c>
      <c r="AX21" s="27">
        <f>IF(AX17&lt;'Kenttallen gemeente'!$B6,(1-$B6*AX17),0)</f>
        <v>0</v>
      </c>
      <c r="AY21" s="27">
        <f>IF(AY17&lt;'Kenttallen gemeente'!$B6,(1-$B6*AY17),0)</f>
        <v>0</v>
      </c>
      <c r="AZ21" s="27">
        <f>IF(AZ17&lt;'Kenttallen gemeente'!$B6,(1-$B6*AZ17),0)</f>
        <v>0</v>
      </c>
      <c r="BA21" s="27">
        <f>IF(BA17&lt;'Kenttallen gemeente'!$B6,(1-$B6*BA17),0)</f>
        <v>0</v>
      </c>
      <c r="BB21" s="27">
        <f>IF(BB17&lt;'Kenttallen gemeente'!$B6,(1-$B6*BB17),0)</f>
        <v>0</v>
      </c>
      <c r="BC21" s="27">
        <f>IF(BC17&lt;'Kenttallen gemeente'!$B6,(1-$B6*BC17),0)</f>
        <v>0</v>
      </c>
      <c r="BD21" s="27">
        <f>IF(BD17&lt;'Kenttallen gemeente'!$B6,(1-$B6*BD17),0)</f>
        <v>0</v>
      </c>
      <c r="BE21" s="27">
        <f>IF(BE17&lt;'Kenttallen gemeente'!$B6,(1-$B6*BE17),0)</f>
        <v>0</v>
      </c>
      <c r="BF21" s="27">
        <f>IF(BF17&lt;'Kenttallen gemeente'!$B6,(1-$B6*BF17),0)</f>
        <v>0</v>
      </c>
      <c r="BG21" s="27">
        <f>IF(BG17&lt;'Kenttallen gemeente'!$B6,(1-$B6*BG17),0)</f>
        <v>0</v>
      </c>
      <c r="BH21" s="27">
        <f>IF(BH17&lt;'Kenttallen gemeente'!$B6,(1-$B6*BH17),0)</f>
        <v>0</v>
      </c>
      <c r="BI21" s="27">
        <f>IF(BI17&lt;'Kenttallen gemeente'!$B6,(1-$B6*BI17),0)</f>
        <v>0</v>
      </c>
      <c r="BJ21" s="27">
        <f>IF(BJ17&lt;'Kenttallen gemeente'!$B6,(1-$B6*BJ17),0)</f>
        <v>0</v>
      </c>
    </row>
    <row r="22" spans="1:62" ht="60" x14ac:dyDescent="0.25">
      <c r="A22" s="1" t="s">
        <v>15</v>
      </c>
      <c r="B22" s="27">
        <f>1-B21-B20</f>
        <v>0</v>
      </c>
      <c r="C22" s="27">
        <f>1-C21-C20</f>
        <v>2.0748644986450411E-3</v>
      </c>
      <c r="D22" s="27">
        <f>1-D21-D20</f>
        <v>4.1497289972899712E-3</v>
      </c>
      <c r="E22" s="27">
        <f t="shared" ref="E22:BJ22" si="0">1-E21-E20</f>
        <v>6.2245934959349047E-3</v>
      </c>
      <c r="F22" s="27">
        <f t="shared" si="0"/>
        <v>8.2994579945799424E-3</v>
      </c>
      <c r="G22" s="27">
        <f t="shared" si="0"/>
        <v>1.037432249322498E-2</v>
      </c>
      <c r="H22" s="27">
        <f t="shared" si="0"/>
        <v>1.2449186991869921E-2</v>
      </c>
      <c r="I22" s="27">
        <f t="shared" si="0"/>
        <v>1.4524051490514944E-2</v>
      </c>
      <c r="J22" s="27">
        <f t="shared" si="0"/>
        <v>1.6598915989159885E-2</v>
      </c>
      <c r="K22" s="27">
        <f t="shared" si="0"/>
        <v>1.8673780487804936E-2</v>
      </c>
      <c r="L22" s="27">
        <f t="shared" si="0"/>
        <v>0</v>
      </c>
      <c r="M22" s="27">
        <f t="shared" si="0"/>
        <v>0</v>
      </c>
      <c r="N22" s="27">
        <f t="shared" si="0"/>
        <v>0</v>
      </c>
      <c r="O22" s="27">
        <f t="shared" si="0"/>
        <v>0</v>
      </c>
      <c r="P22" s="27">
        <f t="shared" si="0"/>
        <v>0</v>
      </c>
      <c r="Q22" s="27">
        <f t="shared" si="0"/>
        <v>0</v>
      </c>
      <c r="R22" s="27">
        <f t="shared" si="0"/>
        <v>0</v>
      </c>
      <c r="S22" s="27">
        <f t="shared" si="0"/>
        <v>0</v>
      </c>
      <c r="T22" s="27">
        <f t="shared" si="0"/>
        <v>0</v>
      </c>
      <c r="U22" s="27">
        <f t="shared" si="0"/>
        <v>0</v>
      </c>
      <c r="V22" s="27">
        <f t="shared" si="0"/>
        <v>0</v>
      </c>
      <c r="W22" s="27">
        <f t="shared" si="0"/>
        <v>0</v>
      </c>
      <c r="X22" s="27">
        <f t="shared" si="0"/>
        <v>0</v>
      </c>
      <c r="Y22" s="27">
        <f t="shared" si="0"/>
        <v>0</v>
      </c>
      <c r="Z22" s="27">
        <f t="shared" si="0"/>
        <v>0</v>
      </c>
      <c r="AA22" s="27">
        <f t="shared" si="0"/>
        <v>0</v>
      </c>
      <c r="AB22" s="27">
        <f t="shared" si="0"/>
        <v>0</v>
      </c>
      <c r="AC22" s="27">
        <f t="shared" si="0"/>
        <v>0</v>
      </c>
      <c r="AD22" s="27">
        <f t="shared" si="0"/>
        <v>0</v>
      </c>
      <c r="AE22" s="27">
        <f t="shared" si="0"/>
        <v>0</v>
      </c>
      <c r="AF22" s="27">
        <f t="shared" si="0"/>
        <v>0</v>
      </c>
      <c r="AG22" s="27">
        <f t="shared" si="0"/>
        <v>0</v>
      </c>
      <c r="AH22" s="27">
        <f t="shared" si="0"/>
        <v>0</v>
      </c>
      <c r="AI22" s="27">
        <f t="shared" si="0"/>
        <v>0</v>
      </c>
      <c r="AJ22" s="27">
        <f t="shared" si="0"/>
        <v>0</v>
      </c>
      <c r="AK22" s="27">
        <f t="shared" si="0"/>
        <v>0</v>
      </c>
      <c r="AL22" s="27">
        <f t="shared" si="0"/>
        <v>0</v>
      </c>
      <c r="AM22" s="27">
        <f t="shared" si="0"/>
        <v>0</v>
      </c>
      <c r="AN22" s="27">
        <f t="shared" si="0"/>
        <v>0</v>
      </c>
      <c r="AO22" s="27">
        <f t="shared" si="0"/>
        <v>0</v>
      </c>
      <c r="AP22" s="27">
        <f t="shared" si="0"/>
        <v>0</v>
      </c>
      <c r="AQ22" s="27">
        <f t="shared" si="0"/>
        <v>0</v>
      </c>
      <c r="AR22" s="27">
        <f t="shared" si="0"/>
        <v>0</v>
      </c>
      <c r="AS22" s="27">
        <f t="shared" si="0"/>
        <v>0</v>
      </c>
      <c r="AT22" s="27">
        <f t="shared" si="0"/>
        <v>0</v>
      </c>
      <c r="AU22" s="27">
        <f t="shared" si="0"/>
        <v>0</v>
      </c>
      <c r="AV22" s="27">
        <f t="shared" si="0"/>
        <v>0</v>
      </c>
      <c r="AW22" s="27">
        <f t="shared" si="0"/>
        <v>0</v>
      </c>
      <c r="AX22" s="27">
        <f t="shared" si="0"/>
        <v>0</v>
      </c>
      <c r="AY22" s="27">
        <f t="shared" si="0"/>
        <v>0</v>
      </c>
      <c r="AZ22" s="27">
        <f t="shared" si="0"/>
        <v>0</v>
      </c>
      <c r="BA22" s="27">
        <f t="shared" si="0"/>
        <v>0</v>
      </c>
      <c r="BB22" s="27">
        <f t="shared" si="0"/>
        <v>0</v>
      </c>
      <c r="BC22" s="27">
        <f t="shared" si="0"/>
        <v>0</v>
      </c>
      <c r="BD22" s="27">
        <f t="shared" si="0"/>
        <v>0</v>
      </c>
      <c r="BE22" s="27">
        <f t="shared" si="0"/>
        <v>0</v>
      </c>
      <c r="BF22" s="27">
        <f t="shared" si="0"/>
        <v>0</v>
      </c>
      <c r="BG22" s="27">
        <f t="shared" si="0"/>
        <v>0</v>
      </c>
      <c r="BH22" s="27">
        <f t="shared" si="0"/>
        <v>0</v>
      </c>
      <c r="BI22" s="27">
        <f t="shared" si="0"/>
        <v>0</v>
      </c>
      <c r="BJ22" s="27">
        <f t="shared" si="0"/>
        <v>0</v>
      </c>
    </row>
    <row r="24" spans="1:62" ht="13.5" customHeight="1" x14ac:dyDescent="0.25">
      <c r="A24" s="13" t="s">
        <v>24</v>
      </c>
    </row>
    <row r="25" spans="1:62" x14ac:dyDescent="0.25">
      <c r="A25" s="7" t="s">
        <v>46</v>
      </c>
      <c r="B25" s="26">
        <f t="shared" ref="B25:AG25" si="1">B17</f>
        <v>0</v>
      </c>
      <c r="C25" s="26">
        <f t="shared" si="1"/>
        <v>5.0000000000000001E-3</v>
      </c>
      <c r="D25" s="26">
        <f t="shared" si="1"/>
        <v>0.01</v>
      </c>
      <c r="E25" s="26">
        <f t="shared" si="1"/>
        <v>1.4999999999999999E-2</v>
      </c>
      <c r="F25" s="26">
        <f t="shared" si="1"/>
        <v>0.02</v>
      </c>
      <c r="G25" s="26">
        <f t="shared" si="1"/>
        <v>2.5000000000000001E-2</v>
      </c>
      <c r="H25" s="26">
        <f t="shared" si="1"/>
        <v>0.03</v>
      </c>
      <c r="I25" s="26">
        <f t="shared" si="1"/>
        <v>3.5000000000000003E-2</v>
      </c>
      <c r="J25" s="26">
        <f t="shared" si="1"/>
        <v>0.04</v>
      </c>
      <c r="K25" s="26">
        <f t="shared" si="1"/>
        <v>4.4999999999999998E-2</v>
      </c>
      <c r="L25" s="26">
        <f t="shared" si="1"/>
        <v>0.05</v>
      </c>
      <c r="M25" s="26">
        <f t="shared" si="1"/>
        <v>5.5E-2</v>
      </c>
      <c r="N25" s="26">
        <f t="shared" si="1"/>
        <v>0.06</v>
      </c>
      <c r="O25" s="26">
        <f t="shared" si="1"/>
        <v>6.5000000000000002E-2</v>
      </c>
      <c r="P25" s="26">
        <f t="shared" si="1"/>
        <v>7.0000000000000007E-2</v>
      </c>
      <c r="Q25" s="26">
        <f t="shared" si="1"/>
        <v>7.4999999999999997E-2</v>
      </c>
      <c r="R25" s="26">
        <f t="shared" si="1"/>
        <v>0.08</v>
      </c>
      <c r="S25" s="26">
        <f t="shared" si="1"/>
        <v>8.5000000000000006E-2</v>
      </c>
      <c r="T25" s="26">
        <f t="shared" si="1"/>
        <v>0.09</v>
      </c>
      <c r="U25" s="26">
        <f t="shared" si="1"/>
        <v>9.5000000000000001E-2</v>
      </c>
      <c r="V25" s="26">
        <f t="shared" si="1"/>
        <v>0.1</v>
      </c>
      <c r="W25" s="26">
        <f t="shared" si="1"/>
        <v>0.105</v>
      </c>
      <c r="X25" s="26">
        <f t="shared" si="1"/>
        <v>0.11</v>
      </c>
      <c r="Y25" s="26">
        <f t="shared" si="1"/>
        <v>0.115</v>
      </c>
      <c r="Z25" s="26">
        <f t="shared" si="1"/>
        <v>0.12</v>
      </c>
      <c r="AA25" s="26">
        <f t="shared" si="1"/>
        <v>0.125</v>
      </c>
      <c r="AB25" s="26">
        <f t="shared" si="1"/>
        <v>0.13</v>
      </c>
      <c r="AC25" s="26">
        <f t="shared" si="1"/>
        <v>0.13500000000000001</v>
      </c>
      <c r="AD25" s="26">
        <f t="shared" si="1"/>
        <v>0.14000000000000001</v>
      </c>
      <c r="AE25" s="26">
        <f t="shared" si="1"/>
        <v>0.14499999999999999</v>
      </c>
      <c r="AF25" s="26">
        <f t="shared" si="1"/>
        <v>0.15</v>
      </c>
      <c r="AG25" s="26">
        <f t="shared" si="1"/>
        <v>0.155</v>
      </c>
      <c r="AH25" s="26">
        <f t="shared" ref="AH25:BJ25" si="2">AH17</f>
        <v>0.16</v>
      </c>
      <c r="AI25" s="26">
        <f t="shared" si="2"/>
        <v>0.16500000000000001</v>
      </c>
      <c r="AJ25" s="26">
        <f t="shared" si="2"/>
        <v>0.17</v>
      </c>
      <c r="AK25" s="26">
        <f t="shared" si="2"/>
        <v>0.17499999999999999</v>
      </c>
      <c r="AL25" s="26">
        <f t="shared" si="2"/>
        <v>0.18</v>
      </c>
      <c r="AM25" s="26">
        <f t="shared" si="2"/>
        <v>0.185</v>
      </c>
      <c r="AN25" s="26">
        <f t="shared" si="2"/>
        <v>0.19</v>
      </c>
      <c r="AO25" s="26">
        <f t="shared" si="2"/>
        <v>0.19500000000000001</v>
      </c>
      <c r="AP25" s="26">
        <f t="shared" si="2"/>
        <v>0.2</v>
      </c>
      <c r="AQ25" s="26">
        <f t="shared" si="2"/>
        <v>0.20499999999999999</v>
      </c>
      <c r="AR25" s="26">
        <f t="shared" si="2"/>
        <v>0.21</v>
      </c>
      <c r="AS25" s="26">
        <f t="shared" si="2"/>
        <v>0.215</v>
      </c>
      <c r="AT25" s="26">
        <f t="shared" si="2"/>
        <v>0.22</v>
      </c>
      <c r="AU25" s="26">
        <f t="shared" si="2"/>
        <v>0.22500000000000001</v>
      </c>
      <c r="AV25" s="26">
        <f t="shared" si="2"/>
        <v>0.23</v>
      </c>
      <c r="AW25" s="26">
        <f t="shared" si="2"/>
        <v>0.23499999999999999</v>
      </c>
      <c r="AX25" s="26">
        <f t="shared" si="2"/>
        <v>0.24</v>
      </c>
      <c r="AY25" s="26">
        <f t="shared" si="2"/>
        <v>0.245</v>
      </c>
      <c r="AZ25" s="26">
        <f t="shared" si="2"/>
        <v>0.25</v>
      </c>
      <c r="BA25" s="26">
        <f t="shared" si="2"/>
        <v>0.255</v>
      </c>
      <c r="BB25" s="26">
        <f t="shared" si="2"/>
        <v>0.26</v>
      </c>
      <c r="BC25" s="26">
        <f t="shared" si="2"/>
        <v>0.26500000000000001</v>
      </c>
      <c r="BD25" s="26">
        <f t="shared" si="2"/>
        <v>0.27</v>
      </c>
      <c r="BE25" s="26">
        <f t="shared" si="2"/>
        <v>0.27500000000000002</v>
      </c>
      <c r="BF25" s="26">
        <f t="shared" si="2"/>
        <v>0.28000000000000003</v>
      </c>
      <c r="BG25" s="26">
        <f t="shared" si="2"/>
        <v>0.28499999999999998</v>
      </c>
      <c r="BH25" s="26">
        <f t="shared" si="2"/>
        <v>0.28999999999999998</v>
      </c>
      <c r="BI25" s="26">
        <f t="shared" si="2"/>
        <v>0.29499999999999998</v>
      </c>
      <c r="BJ25" s="26">
        <f t="shared" si="2"/>
        <v>0.3</v>
      </c>
    </row>
    <row r="26" spans="1:62" x14ac:dyDescent="0.25">
      <c r="A26" s="5" t="s">
        <v>25</v>
      </c>
      <c r="B26" s="33">
        <f>'Kenttallen gemeente'!B6</f>
        <v>0.05</v>
      </c>
      <c r="C26" s="33">
        <f>B26</f>
        <v>0.05</v>
      </c>
      <c r="D26" s="33">
        <f t="shared" ref="D26:BJ26" si="3">C26</f>
        <v>0.05</v>
      </c>
      <c r="E26" s="33">
        <f t="shared" si="3"/>
        <v>0.05</v>
      </c>
      <c r="F26" s="33">
        <f t="shared" si="3"/>
        <v>0.05</v>
      </c>
      <c r="G26" s="33">
        <f t="shared" si="3"/>
        <v>0.05</v>
      </c>
      <c r="H26" s="33">
        <f t="shared" si="3"/>
        <v>0.05</v>
      </c>
      <c r="I26" s="33">
        <f t="shared" si="3"/>
        <v>0.05</v>
      </c>
      <c r="J26" s="33">
        <f t="shared" si="3"/>
        <v>0.05</v>
      </c>
      <c r="K26" s="33">
        <f t="shared" si="3"/>
        <v>0.05</v>
      </c>
      <c r="L26" s="33">
        <f t="shared" si="3"/>
        <v>0.05</v>
      </c>
      <c r="M26" s="33">
        <f t="shared" si="3"/>
        <v>0.05</v>
      </c>
      <c r="N26" s="33">
        <f t="shared" si="3"/>
        <v>0.05</v>
      </c>
      <c r="O26" s="33">
        <f t="shared" si="3"/>
        <v>0.05</v>
      </c>
      <c r="P26" s="33">
        <f t="shared" si="3"/>
        <v>0.05</v>
      </c>
      <c r="Q26" s="33">
        <f t="shared" si="3"/>
        <v>0.05</v>
      </c>
      <c r="R26" s="33">
        <f t="shared" si="3"/>
        <v>0.05</v>
      </c>
      <c r="S26" s="33">
        <f t="shared" si="3"/>
        <v>0.05</v>
      </c>
      <c r="T26" s="33">
        <f t="shared" si="3"/>
        <v>0.05</v>
      </c>
      <c r="U26" s="33">
        <f t="shared" si="3"/>
        <v>0.05</v>
      </c>
      <c r="V26" s="33">
        <f t="shared" si="3"/>
        <v>0.05</v>
      </c>
      <c r="W26" s="33">
        <f t="shared" si="3"/>
        <v>0.05</v>
      </c>
      <c r="X26" s="33">
        <f t="shared" si="3"/>
        <v>0.05</v>
      </c>
      <c r="Y26" s="33">
        <f t="shared" si="3"/>
        <v>0.05</v>
      </c>
      <c r="Z26" s="33">
        <f t="shared" si="3"/>
        <v>0.05</v>
      </c>
      <c r="AA26" s="33">
        <f t="shared" si="3"/>
        <v>0.05</v>
      </c>
      <c r="AB26" s="33">
        <f t="shared" si="3"/>
        <v>0.05</v>
      </c>
      <c r="AC26" s="33">
        <f t="shared" si="3"/>
        <v>0.05</v>
      </c>
      <c r="AD26" s="33">
        <f t="shared" si="3"/>
        <v>0.05</v>
      </c>
      <c r="AE26" s="33">
        <f t="shared" si="3"/>
        <v>0.05</v>
      </c>
      <c r="AF26" s="33">
        <f t="shared" si="3"/>
        <v>0.05</v>
      </c>
      <c r="AG26" s="33">
        <f t="shared" si="3"/>
        <v>0.05</v>
      </c>
      <c r="AH26" s="33">
        <f t="shared" si="3"/>
        <v>0.05</v>
      </c>
      <c r="AI26" s="33">
        <f t="shared" si="3"/>
        <v>0.05</v>
      </c>
      <c r="AJ26" s="33">
        <f t="shared" si="3"/>
        <v>0.05</v>
      </c>
      <c r="AK26" s="33">
        <f t="shared" si="3"/>
        <v>0.05</v>
      </c>
      <c r="AL26" s="33">
        <f t="shared" si="3"/>
        <v>0.05</v>
      </c>
      <c r="AM26" s="33">
        <f t="shared" si="3"/>
        <v>0.05</v>
      </c>
      <c r="AN26" s="33">
        <f t="shared" si="3"/>
        <v>0.05</v>
      </c>
      <c r="AO26" s="33">
        <f t="shared" si="3"/>
        <v>0.05</v>
      </c>
      <c r="AP26" s="33">
        <f t="shared" si="3"/>
        <v>0.05</v>
      </c>
      <c r="AQ26" s="33">
        <f t="shared" si="3"/>
        <v>0.05</v>
      </c>
      <c r="AR26" s="33">
        <f t="shared" si="3"/>
        <v>0.05</v>
      </c>
      <c r="AS26" s="33">
        <f t="shared" si="3"/>
        <v>0.05</v>
      </c>
      <c r="AT26" s="33">
        <f t="shared" si="3"/>
        <v>0.05</v>
      </c>
      <c r="AU26" s="33">
        <f t="shared" si="3"/>
        <v>0.05</v>
      </c>
      <c r="AV26" s="33">
        <f t="shared" si="3"/>
        <v>0.05</v>
      </c>
      <c r="AW26" s="33">
        <f t="shared" si="3"/>
        <v>0.05</v>
      </c>
      <c r="AX26" s="33">
        <f t="shared" si="3"/>
        <v>0.05</v>
      </c>
      <c r="AY26" s="33">
        <f t="shared" si="3"/>
        <v>0.05</v>
      </c>
      <c r="AZ26" s="33">
        <f t="shared" si="3"/>
        <v>0.05</v>
      </c>
      <c r="BA26" s="33">
        <f t="shared" si="3"/>
        <v>0.05</v>
      </c>
      <c r="BB26" s="33">
        <f t="shared" si="3"/>
        <v>0.05</v>
      </c>
      <c r="BC26" s="33">
        <f t="shared" si="3"/>
        <v>0.05</v>
      </c>
      <c r="BD26" s="33">
        <f t="shared" si="3"/>
        <v>0.05</v>
      </c>
      <c r="BE26" s="33">
        <f t="shared" si="3"/>
        <v>0.05</v>
      </c>
      <c r="BF26" s="33">
        <f t="shared" si="3"/>
        <v>0.05</v>
      </c>
      <c r="BG26" s="33">
        <f t="shared" si="3"/>
        <v>0.05</v>
      </c>
      <c r="BH26" s="33">
        <f t="shared" si="3"/>
        <v>0.05</v>
      </c>
      <c r="BI26" s="33">
        <f t="shared" si="3"/>
        <v>0.05</v>
      </c>
      <c r="BJ26" s="33">
        <f t="shared" si="3"/>
        <v>0.05</v>
      </c>
    </row>
    <row r="27" spans="1:62" x14ac:dyDescent="0.25">
      <c r="A27" s="5" t="s">
        <v>26</v>
      </c>
      <c r="B27" s="19">
        <f>$B$9</f>
        <v>2.8050000000000002E-2</v>
      </c>
      <c r="C27" s="19">
        <f t="shared" ref="C27:BJ27" si="4">$B$9</f>
        <v>2.8050000000000002E-2</v>
      </c>
      <c r="D27" s="19">
        <f t="shared" si="4"/>
        <v>2.8050000000000002E-2</v>
      </c>
      <c r="E27" s="19">
        <f t="shared" si="4"/>
        <v>2.8050000000000002E-2</v>
      </c>
      <c r="F27" s="19">
        <f t="shared" si="4"/>
        <v>2.8050000000000002E-2</v>
      </c>
      <c r="G27" s="19">
        <f t="shared" si="4"/>
        <v>2.8050000000000002E-2</v>
      </c>
      <c r="H27" s="19">
        <f t="shared" si="4"/>
        <v>2.8050000000000002E-2</v>
      </c>
      <c r="I27" s="19">
        <f t="shared" si="4"/>
        <v>2.8050000000000002E-2</v>
      </c>
      <c r="J27" s="19">
        <f t="shared" si="4"/>
        <v>2.8050000000000002E-2</v>
      </c>
      <c r="K27" s="19">
        <f t="shared" si="4"/>
        <v>2.8050000000000002E-2</v>
      </c>
      <c r="L27" s="19">
        <f t="shared" si="4"/>
        <v>2.8050000000000002E-2</v>
      </c>
      <c r="M27" s="19">
        <f t="shared" si="4"/>
        <v>2.8050000000000002E-2</v>
      </c>
      <c r="N27" s="19">
        <f t="shared" si="4"/>
        <v>2.8050000000000002E-2</v>
      </c>
      <c r="O27" s="19">
        <f t="shared" si="4"/>
        <v>2.8050000000000002E-2</v>
      </c>
      <c r="P27" s="19">
        <f t="shared" si="4"/>
        <v>2.8050000000000002E-2</v>
      </c>
      <c r="Q27" s="19">
        <f t="shared" si="4"/>
        <v>2.8050000000000002E-2</v>
      </c>
      <c r="R27" s="19">
        <f t="shared" si="4"/>
        <v>2.8050000000000002E-2</v>
      </c>
      <c r="S27" s="19">
        <f t="shared" si="4"/>
        <v>2.8050000000000002E-2</v>
      </c>
      <c r="T27" s="19">
        <f t="shared" si="4"/>
        <v>2.8050000000000002E-2</v>
      </c>
      <c r="U27" s="19">
        <f t="shared" si="4"/>
        <v>2.8050000000000002E-2</v>
      </c>
      <c r="V27" s="19">
        <f t="shared" si="4"/>
        <v>2.8050000000000002E-2</v>
      </c>
      <c r="W27" s="19">
        <f t="shared" si="4"/>
        <v>2.8050000000000002E-2</v>
      </c>
      <c r="X27" s="19">
        <f t="shared" si="4"/>
        <v>2.8050000000000002E-2</v>
      </c>
      <c r="Y27" s="19">
        <f t="shared" si="4"/>
        <v>2.8050000000000002E-2</v>
      </c>
      <c r="Z27" s="19">
        <f t="shared" si="4"/>
        <v>2.8050000000000002E-2</v>
      </c>
      <c r="AA27" s="19">
        <f t="shared" si="4"/>
        <v>2.8050000000000002E-2</v>
      </c>
      <c r="AB27" s="19">
        <f t="shared" si="4"/>
        <v>2.8050000000000002E-2</v>
      </c>
      <c r="AC27" s="19">
        <f t="shared" si="4"/>
        <v>2.8050000000000002E-2</v>
      </c>
      <c r="AD27" s="19">
        <f t="shared" si="4"/>
        <v>2.8050000000000002E-2</v>
      </c>
      <c r="AE27" s="19">
        <f t="shared" si="4"/>
        <v>2.8050000000000002E-2</v>
      </c>
      <c r="AF27" s="19">
        <f t="shared" si="4"/>
        <v>2.8050000000000002E-2</v>
      </c>
      <c r="AG27" s="19">
        <f t="shared" si="4"/>
        <v>2.8050000000000002E-2</v>
      </c>
      <c r="AH27" s="19">
        <f t="shared" si="4"/>
        <v>2.8050000000000002E-2</v>
      </c>
      <c r="AI27" s="19">
        <f t="shared" si="4"/>
        <v>2.8050000000000002E-2</v>
      </c>
      <c r="AJ27" s="19">
        <f t="shared" si="4"/>
        <v>2.8050000000000002E-2</v>
      </c>
      <c r="AK27" s="19">
        <f t="shared" si="4"/>
        <v>2.8050000000000002E-2</v>
      </c>
      <c r="AL27" s="19">
        <f t="shared" si="4"/>
        <v>2.8050000000000002E-2</v>
      </c>
      <c r="AM27" s="19">
        <f t="shared" si="4"/>
        <v>2.8050000000000002E-2</v>
      </c>
      <c r="AN27" s="19">
        <f t="shared" si="4"/>
        <v>2.8050000000000002E-2</v>
      </c>
      <c r="AO27" s="19">
        <f t="shared" si="4"/>
        <v>2.8050000000000002E-2</v>
      </c>
      <c r="AP27" s="19">
        <f t="shared" si="4"/>
        <v>2.8050000000000002E-2</v>
      </c>
      <c r="AQ27" s="19">
        <f t="shared" si="4"/>
        <v>2.8050000000000002E-2</v>
      </c>
      <c r="AR27" s="19">
        <f t="shared" si="4"/>
        <v>2.8050000000000002E-2</v>
      </c>
      <c r="AS27" s="19">
        <f t="shared" si="4"/>
        <v>2.8050000000000002E-2</v>
      </c>
      <c r="AT27" s="19">
        <f t="shared" si="4"/>
        <v>2.8050000000000002E-2</v>
      </c>
      <c r="AU27" s="19">
        <f t="shared" si="4"/>
        <v>2.8050000000000002E-2</v>
      </c>
      <c r="AV27" s="19">
        <f t="shared" si="4"/>
        <v>2.8050000000000002E-2</v>
      </c>
      <c r="AW27" s="19">
        <f t="shared" si="4"/>
        <v>2.8050000000000002E-2</v>
      </c>
      <c r="AX27" s="19">
        <f t="shared" si="4"/>
        <v>2.8050000000000002E-2</v>
      </c>
      <c r="AY27" s="19">
        <f t="shared" si="4"/>
        <v>2.8050000000000002E-2</v>
      </c>
      <c r="AZ27" s="19">
        <f t="shared" si="4"/>
        <v>2.8050000000000002E-2</v>
      </c>
      <c r="BA27" s="19">
        <f t="shared" si="4"/>
        <v>2.8050000000000002E-2</v>
      </c>
      <c r="BB27" s="19">
        <f t="shared" si="4"/>
        <v>2.8050000000000002E-2</v>
      </c>
      <c r="BC27" s="19">
        <f t="shared" si="4"/>
        <v>2.8050000000000002E-2</v>
      </c>
      <c r="BD27" s="19">
        <f t="shared" si="4"/>
        <v>2.8050000000000002E-2</v>
      </c>
      <c r="BE27" s="19">
        <f t="shared" si="4"/>
        <v>2.8050000000000002E-2</v>
      </c>
      <c r="BF27" s="19">
        <f t="shared" si="4"/>
        <v>2.8050000000000002E-2</v>
      </c>
      <c r="BG27" s="19">
        <f t="shared" si="4"/>
        <v>2.8050000000000002E-2</v>
      </c>
      <c r="BH27" s="19">
        <f t="shared" si="4"/>
        <v>2.8050000000000002E-2</v>
      </c>
      <c r="BI27" s="19">
        <f t="shared" si="4"/>
        <v>2.8050000000000002E-2</v>
      </c>
      <c r="BJ27" s="19">
        <f t="shared" si="4"/>
        <v>2.8050000000000002E-2</v>
      </c>
    </row>
    <row r="28" spans="1:62" x14ac:dyDescent="0.25">
      <c r="A28" s="5" t="s">
        <v>27</v>
      </c>
      <c r="B28" s="27">
        <f>NORMDIST(B25,B26,B27,TRUE)</f>
        <v>3.7331324465898777E-2</v>
      </c>
      <c r="C28" s="27">
        <f>NORMDIST(C25,C26,C27,TRUE)</f>
        <v>5.4326385857242462E-2</v>
      </c>
      <c r="D28" s="27">
        <f>NORMDIST(D25,D26,D27,TRUE)</f>
        <v>7.6930569359206072E-2</v>
      </c>
      <c r="E28" s="27">
        <f>NORMDIST(E25,E26,E27,TRUE)</f>
        <v>0.10605731272171769</v>
      </c>
      <c r="F28" s="27">
        <f t="shared" ref="F28:AX28" si="5">NORMDIST(F25,F26,F27,TRUE)</f>
        <v>0.14241799986279483</v>
      </c>
      <c r="G28" s="27">
        <f t="shared" si="5"/>
        <v>0.18639335018530204</v>
      </c>
      <c r="H28" s="27">
        <f t="shared" si="5"/>
        <v>0.23791901798966367</v>
      </c>
      <c r="I28" s="27">
        <f t="shared" si="5"/>
        <v>0.29640813489369167</v>
      </c>
      <c r="J28" s="27">
        <f t="shared" si="5"/>
        <v>0.3607307403458041</v>
      </c>
      <c r="K28" s="27">
        <f t="shared" si="5"/>
        <v>0.42926209718883024</v>
      </c>
      <c r="L28" s="27">
        <f t="shared" si="5"/>
        <v>0.5</v>
      </c>
      <c r="M28" s="27">
        <f t="shared" si="5"/>
        <v>0.57073790281116965</v>
      </c>
      <c r="N28" s="27">
        <f t="shared" si="5"/>
        <v>0.63926925965419579</v>
      </c>
      <c r="O28" s="27">
        <f t="shared" si="5"/>
        <v>0.70359186510630833</v>
      </c>
      <c r="P28" s="27">
        <f t="shared" si="5"/>
        <v>0.76208098201033636</v>
      </c>
      <c r="Q28" s="27">
        <f t="shared" si="5"/>
        <v>0.81360664981469788</v>
      </c>
      <c r="R28" s="27">
        <f t="shared" si="5"/>
        <v>0.85758200013720509</v>
      </c>
      <c r="S28" s="27">
        <f t="shared" si="5"/>
        <v>0.8939426872782823</v>
      </c>
      <c r="T28" s="27">
        <f t="shared" si="5"/>
        <v>0.92306943064079394</v>
      </c>
      <c r="U28" s="27">
        <f t="shared" si="5"/>
        <v>0.94567361414275752</v>
      </c>
      <c r="V28" s="27">
        <f t="shared" si="5"/>
        <v>0.96266867553410118</v>
      </c>
      <c r="W28" s="27">
        <f t="shared" si="5"/>
        <v>0.9750479056690684</v>
      </c>
      <c r="X28" s="27">
        <f t="shared" si="5"/>
        <v>0.98378368157489771</v>
      </c>
      <c r="Y28" s="27">
        <f t="shared" si="5"/>
        <v>0.98975604520156724</v>
      </c>
      <c r="Z28" s="27">
        <f t="shared" si="5"/>
        <v>0.99371178634347712</v>
      </c>
      <c r="AA28" s="27">
        <f t="shared" si="5"/>
        <v>0.9962501059528297</v>
      </c>
      <c r="AB28" s="27">
        <f t="shared" si="5"/>
        <v>0.99782808602004625</v>
      </c>
      <c r="AC28" s="27">
        <f t="shared" si="5"/>
        <v>0.9987784575864197</v>
      </c>
      <c r="AD28" s="27">
        <f t="shared" si="5"/>
        <v>0.99933298371138113</v>
      </c>
      <c r="AE28" s="27">
        <f t="shared" si="5"/>
        <v>0.99964644735921793</v>
      </c>
      <c r="AF28" s="27">
        <f t="shared" si="5"/>
        <v>0.99981811517642638</v>
      </c>
      <c r="AG28" s="27">
        <f t="shared" si="5"/>
        <v>0.99990919602098027</v>
      </c>
      <c r="AH28" s="27">
        <f t="shared" si="5"/>
        <v>0.99995601280784963</v>
      </c>
      <c r="AI28" s="27">
        <f t="shared" si="5"/>
        <v>0.999979326576103</v>
      </c>
      <c r="AJ28" s="27">
        <f t="shared" si="5"/>
        <v>0.99999057416889836</v>
      </c>
      <c r="AK28" s="27">
        <f t="shared" si="5"/>
        <v>0.99999583122790947</v>
      </c>
      <c r="AL28" s="27">
        <f t="shared" si="5"/>
        <v>0.99999821169505754</v>
      </c>
      <c r="AM28" s="27">
        <f t="shared" si="5"/>
        <v>0.99999925597639849</v>
      </c>
      <c r="AN28" s="27">
        <f t="shared" si="5"/>
        <v>0.99999969979830938</v>
      </c>
      <c r="AO28" s="27">
        <f t="shared" si="5"/>
        <v>0.99999988253921013</v>
      </c>
      <c r="AP28" s="27">
        <f t="shared" si="5"/>
        <v>0.99999995543433551</v>
      </c>
      <c r="AQ28" s="27">
        <f t="shared" si="5"/>
        <v>0.99999998360498232</v>
      </c>
      <c r="AR28" s="27">
        <f t="shared" si="5"/>
        <v>0.99999999415202379</v>
      </c>
      <c r="AS28" s="27">
        <f t="shared" si="5"/>
        <v>0.99999999797762662</v>
      </c>
      <c r="AT28" s="27">
        <f t="shared" si="5"/>
        <v>0.99999999932195205</v>
      </c>
      <c r="AU28" s="27">
        <f t="shared" si="5"/>
        <v>0.99999999977961318</v>
      </c>
      <c r="AV28" s="27">
        <f t="shared" si="5"/>
        <v>0.99999999993055821</v>
      </c>
      <c r="AW28" s="27">
        <f t="shared" si="5"/>
        <v>0.99999999997878952</v>
      </c>
      <c r="AX28" s="27">
        <f t="shared" si="5"/>
        <v>0.99999999999372002</v>
      </c>
      <c r="AY28" s="27">
        <f>NORMDIST(AY25,AY26,AY27,TRUE)</f>
        <v>0.99999999999819766</v>
      </c>
      <c r="AZ28" s="27">
        <f t="shared" ref="AZ28:BJ28" si="6">NORMDIST(AZ25,AZ26,AZ27,TRUE)</f>
        <v>0.99999999999949862</v>
      </c>
      <c r="BA28" s="27">
        <f t="shared" si="6"/>
        <v>0.99999999999986477</v>
      </c>
      <c r="BB28" s="27">
        <f t="shared" si="6"/>
        <v>0.99999999999996469</v>
      </c>
      <c r="BC28" s="27">
        <f t="shared" si="6"/>
        <v>0.99999999999999101</v>
      </c>
      <c r="BD28" s="27">
        <f t="shared" si="6"/>
        <v>0.99999999999999778</v>
      </c>
      <c r="BE28" s="27">
        <f t="shared" si="6"/>
        <v>0.99999999999999944</v>
      </c>
      <c r="BF28" s="27">
        <f t="shared" si="6"/>
        <v>0.99999999999999989</v>
      </c>
      <c r="BG28" s="27">
        <f t="shared" si="6"/>
        <v>1</v>
      </c>
      <c r="BH28" s="27">
        <f t="shared" si="6"/>
        <v>1</v>
      </c>
      <c r="BI28" s="27">
        <f t="shared" si="6"/>
        <v>1</v>
      </c>
      <c r="BJ28" s="27">
        <f t="shared" si="6"/>
        <v>1</v>
      </c>
    </row>
    <row r="29" spans="1:62" x14ac:dyDescent="0.25">
      <c r="A29" s="5" t="s">
        <v>19</v>
      </c>
      <c r="B29" s="18">
        <f>'Kenttallen gemeente'!B7</f>
        <v>60</v>
      </c>
      <c r="C29" s="18">
        <f>B29</f>
        <v>60</v>
      </c>
      <c r="D29" s="18">
        <f t="shared" ref="D29:BJ29" si="7">C29</f>
        <v>60</v>
      </c>
      <c r="E29" s="18">
        <f t="shared" si="7"/>
        <v>60</v>
      </c>
      <c r="F29" s="18">
        <f t="shared" si="7"/>
        <v>60</v>
      </c>
      <c r="G29" s="18">
        <f t="shared" si="7"/>
        <v>60</v>
      </c>
      <c r="H29" s="18">
        <f t="shared" si="7"/>
        <v>60</v>
      </c>
      <c r="I29" s="18">
        <f t="shared" si="7"/>
        <v>60</v>
      </c>
      <c r="J29" s="18">
        <f t="shared" si="7"/>
        <v>60</v>
      </c>
      <c r="K29" s="18">
        <f t="shared" si="7"/>
        <v>60</v>
      </c>
      <c r="L29" s="18">
        <f t="shared" si="7"/>
        <v>60</v>
      </c>
      <c r="M29" s="18">
        <f t="shared" si="7"/>
        <v>60</v>
      </c>
      <c r="N29" s="18">
        <f t="shared" si="7"/>
        <v>60</v>
      </c>
      <c r="O29" s="18">
        <f t="shared" si="7"/>
        <v>60</v>
      </c>
      <c r="P29" s="18">
        <f t="shared" si="7"/>
        <v>60</v>
      </c>
      <c r="Q29" s="18">
        <f t="shared" si="7"/>
        <v>60</v>
      </c>
      <c r="R29" s="18">
        <f t="shared" si="7"/>
        <v>60</v>
      </c>
      <c r="S29" s="18">
        <f t="shared" si="7"/>
        <v>60</v>
      </c>
      <c r="T29" s="18">
        <f t="shared" si="7"/>
        <v>60</v>
      </c>
      <c r="U29" s="18">
        <f t="shared" si="7"/>
        <v>60</v>
      </c>
      <c r="V29" s="18">
        <f t="shared" si="7"/>
        <v>60</v>
      </c>
      <c r="W29" s="18">
        <f t="shared" si="7"/>
        <v>60</v>
      </c>
      <c r="X29" s="18">
        <f t="shared" si="7"/>
        <v>60</v>
      </c>
      <c r="Y29" s="18">
        <f t="shared" si="7"/>
        <v>60</v>
      </c>
      <c r="Z29" s="18">
        <f t="shared" si="7"/>
        <v>60</v>
      </c>
      <c r="AA29" s="18">
        <f t="shared" si="7"/>
        <v>60</v>
      </c>
      <c r="AB29" s="18">
        <f t="shared" si="7"/>
        <v>60</v>
      </c>
      <c r="AC29" s="18">
        <f t="shared" si="7"/>
        <v>60</v>
      </c>
      <c r="AD29" s="18">
        <f t="shared" si="7"/>
        <v>60</v>
      </c>
      <c r="AE29" s="18">
        <f t="shared" si="7"/>
        <v>60</v>
      </c>
      <c r="AF29" s="18">
        <f t="shared" si="7"/>
        <v>60</v>
      </c>
      <c r="AG29" s="18">
        <f t="shared" si="7"/>
        <v>60</v>
      </c>
      <c r="AH29" s="18">
        <f t="shared" si="7"/>
        <v>60</v>
      </c>
      <c r="AI29" s="18">
        <f t="shared" si="7"/>
        <v>60</v>
      </c>
      <c r="AJ29" s="18">
        <f t="shared" si="7"/>
        <v>60</v>
      </c>
      <c r="AK29" s="18">
        <f t="shared" si="7"/>
        <v>60</v>
      </c>
      <c r="AL29" s="18">
        <f t="shared" si="7"/>
        <v>60</v>
      </c>
      <c r="AM29" s="18">
        <f t="shared" si="7"/>
        <v>60</v>
      </c>
      <c r="AN29" s="18">
        <f t="shared" si="7"/>
        <v>60</v>
      </c>
      <c r="AO29" s="18">
        <f t="shared" si="7"/>
        <v>60</v>
      </c>
      <c r="AP29" s="18">
        <f t="shared" si="7"/>
        <v>60</v>
      </c>
      <c r="AQ29" s="18">
        <f t="shared" si="7"/>
        <v>60</v>
      </c>
      <c r="AR29" s="18">
        <f t="shared" si="7"/>
        <v>60</v>
      </c>
      <c r="AS29" s="18">
        <f t="shared" si="7"/>
        <v>60</v>
      </c>
      <c r="AT29" s="18">
        <f t="shared" si="7"/>
        <v>60</v>
      </c>
      <c r="AU29" s="18">
        <f t="shared" si="7"/>
        <v>60</v>
      </c>
      <c r="AV29" s="18">
        <f t="shared" si="7"/>
        <v>60</v>
      </c>
      <c r="AW29" s="18">
        <f t="shared" si="7"/>
        <v>60</v>
      </c>
      <c r="AX29" s="18">
        <f t="shared" si="7"/>
        <v>60</v>
      </c>
      <c r="AY29" s="18">
        <f t="shared" si="7"/>
        <v>60</v>
      </c>
      <c r="AZ29" s="18">
        <f t="shared" si="7"/>
        <v>60</v>
      </c>
      <c r="BA29" s="18">
        <f t="shared" si="7"/>
        <v>60</v>
      </c>
      <c r="BB29" s="18">
        <f t="shared" si="7"/>
        <v>60</v>
      </c>
      <c r="BC29" s="18">
        <f t="shared" si="7"/>
        <v>60</v>
      </c>
      <c r="BD29" s="18">
        <f t="shared" si="7"/>
        <v>60</v>
      </c>
      <c r="BE29" s="18">
        <f t="shared" si="7"/>
        <v>60</v>
      </c>
      <c r="BF29" s="18">
        <f t="shared" si="7"/>
        <v>60</v>
      </c>
      <c r="BG29" s="18">
        <f t="shared" si="7"/>
        <v>60</v>
      </c>
      <c r="BH29" s="18">
        <f t="shared" si="7"/>
        <v>60</v>
      </c>
      <c r="BI29" s="18">
        <f t="shared" si="7"/>
        <v>60</v>
      </c>
      <c r="BJ29" s="18">
        <f t="shared" si="7"/>
        <v>60</v>
      </c>
    </row>
    <row r="30" spans="1:62" x14ac:dyDescent="0.25">
      <c r="A30" s="5" t="s">
        <v>20</v>
      </c>
      <c r="B30" s="18">
        <f>'Kenttallen gemeente'!B8</f>
        <v>130</v>
      </c>
      <c r="C30" s="18">
        <f>B30</f>
        <v>130</v>
      </c>
      <c r="D30" s="18">
        <f t="shared" ref="D30:BJ30" si="8">C30</f>
        <v>130</v>
      </c>
      <c r="E30" s="18">
        <f t="shared" si="8"/>
        <v>130</v>
      </c>
      <c r="F30" s="18">
        <f t="shared" si="8"/>
        <v>130</v>
      </c>
      <c r="G30" s="18">
        <f t="shared" si="8"/>
        <v>130</v>
      </c>
      <c r="H30" s="18">
        <f t="shared" si="8"/>
        <v>130</v>
      </c>
      <c r="I30" s="18">
        <f t="shared" si="8"/>
        <v>130</v>
      </c>
      <c r="J30" s="18">
        <f t="shared" si="8"/>
        <v>130</v>
      </c>
      <c r="K30" s="18">
        <f t="shared" si="8"/>
        <v>130</v>
      </c>
      <c r="L30" s="18">
        <f t="shared" si="8"/>
        <v>130</v>
      </c>
      <c r="M30" s="18">
        <f t="shared" si="8"/>
        <v>130</v>
      </c>
      <c r="N30" s="18">
        <f t="shared" si="8"/>
        <v>130</v>
      </c>
      <c r="O30" s="18">
        <f t="shared" si="8"/>
        <v>130</v>
      </c>
      <c r="P30" s="18">
        <f t="shared" si="8"/>
        <v>130</v>
      </c>
      <c r="Q30" s="18">
        <f t="shared" si="8"/>
        <v>130</v>
      </c>
      <c r="R30" s="18">
        <f t="shared" si="8"/>
        <v>130</v>
      </c>
      <c r="S30" s="18">
        <f t="shared" si="8"/>
        <v>130</v>
      </c>
      <c r="T30" s="18">
        <f t="shared" si="8"/>
        <v>130</v>
      </c>
      <c r="U30" s="18">
        <f t="shared" si="8"/>
        <v>130</v>
      </c>
      <c r="V30" s="18">
        <f t="shared" si="8"/>
        <v>130</v>
      </c>
      <c r="W30" s="18">
        <f t="shared" si="8"/>
        <v>130</v>
      </c>
      <c r="X30" s="18">
        <f t="shared" si="8"/>
        <v>130</v>
      </c>
      <c r="Y30" s="18">
        <f t="shared" si="8"/>
        <v>130</v>
      </c>
      <c r="Z30" s="18">
        <f t="shared" si="8"/>
        <v>130</v>
      </c>
      <c r="AA30" s="18">
        <f t="shared" si="8"/>
        <v>130</v>
      </c>
      <c r="AB30" s="18">
        <f t="shared" si="8"/>
        <v>130</v>
      </c>
      <c r="AC30" s="18">
        <f t="shared" si="8"/>
        <v>130</v>
      </c>
      <c r="AD30" s="18">
        <f t="shared" si="8"/>
        <v>130</v>
      </c>
      <c r="AE30" s="18">
        <f t="shared" si="8"/>
        <v>130</v>
      </c>
      <c r="AF30" s="18">
        <f t="shared" si="8"/>
        <v>130</v>
      </c>
      <c r="AG30" s="18">
        <f t="shared" si="8"/>
        <v>130</v>
      </c>
      <c r="AH30" s="18">
        <f t="shared" si="8"/>
        <v>130</v>
      </c>
      <c r="AI30" s="18">
        <f t="shared" si="8"/>
        <v>130</v>
      </c>
      <c r="AJ30" s="18">
        <f t="shared" si="8"/>
        <v>130</v>
      </c>
      <c r="AK30" s="18">
        <f t="shared" si="8"/>
        <v>130</v>
      </c>
      <c r="AL30" s="18">
        <f t="shared" si="8"/>
        <v>130</v>
      </c>
      <c r="AM30" s="18">
        <f t="shared" si="8"/>
        <v>130</v>
      </c>
      <c r="AN30" s="18">
        <f t="shared" si="8"/>
        <v>130</v>
      </c>
      <c r="AO30" s="18">
        <f t="shared" si="8"/>
        <v>130</v>
      </c>
      <c r="AP30" s="18">
        <f t="shared" si="8"/>
        <v>130</v>
      </c>
      <c r="AQ30" s="18">
        <f t="shared" si="8"/>
        <v>130</v>
      </c>
      <c r="AR30" s="18">
        <f t="shared" si="8"/>
        <v>130</v>
      </c>
      <c r="AS30" s="18">
        <f t="shared" si="8"/>
        <v>130</v>
      </c>
      <c r="AT30" s="18">
        <f t="shared" si="8"/>
        <v>130</v>
      </c>
      <c r="AU30" s="18">
        <f t="shared" si="8"/>
        <v>130</v>
      </c>
      <c r="AV30" s="18">
        <f t="shared" si="8"/>
        <v>130</v>
      </c>
      <c r="AW30" s="18">
        <f t="shared" si="8"/>
        <v>130</v>
      </c>
      <c r="AX30" s="18">
        <f t="shared" si="8"/>
        <v>130</v>
      </c>
      <c r="AY30" s="18">
        <f t="shared" si="8"/>
        <v>130</v>
      </c>
      <c r="AZ30" s="18">
        <f t="shared" si="8"/>
        <v>130</v>
      </c>
      <c r="BA30" s="18">
        <f t="shared" si="8"/>
        <v>130</v>
      </c>
      <c r="BB30" s="18">
        <f t="shared" si="8"/>
        <v>130</v>
      </c>
      <c r="BC30" s="18">
        <f t="shared" si="8"/>
        <v>130</v>
      </c>
      <c r="BD30" s="18">
        <f t="shared" si="8"/>
        <v>130</v>
      </c>
      <c r="BE30" s="18">
        <f t="shared" si="8"/>
        <v>130</v>
      </c>
      <c r="BF30" s="18">
        <f t="shared" si="8"/>
        <v>130</v>
      </c>
      <c r="BG30" s="18">
        <f t="shared" si="8"/>
        <v>130</v>
      </c>
      <c r="BH30" s="18">
        <f t="shared" si="8"/>
        <v>130</v>
      </c>
      <c r="BI30" s="18">
        <f t="shared" si="8"/>
        <v>130</v>
      </c>
      <c r="BJ30" s="18">
        <f t="shared" si="8"/>
        <v>130</v>
      </c>
    </row>
    <row r="31" spans="1:62" ht="30" x14ac:dyDescent="0.25">
      <c r="A31" s="6" t="s">
        <v>21</v>
      </c>
      <c r="B31" s="17">
        <f>B29*(1-B28)+B30*(B28)</f>
        <v>62.613192712612914</v>
      </c>
      <c r="C31" s="17">
        <f t="shared" ref="C31:BJ31" si="9">C29*(1-C28)+C30*(C28)</f>
        <v>63.802847010006971</v>
      </c>
      <c r="D31" s="17">
        <f t="shared" si="9"/>
        <v>65.38513985514443</v>
      </c>
      <c r="E31" s="17">
        <f t="shared" si="9"/>
        <v>67.424011890520234</v>
      </c>
      <c r="F31" s="17">
        <f t="shared" si="9"/>
        <v>69.969259990395642</v>
      </c>
      <c r="G31" s="17">
        <f t="shared" si="9"/>
        <v>73.04753451297114</v>
      </c>
      <c r="H31" s="17">
        <f t="shared" si="9"/>
        <v>76.654331259276461</v>
      </c>
      <c r="I31" s="17">
        <f t="shared" si="9"/>
        <v>80.74856944255842</v>
      </c>
      <c r="J31" s="17">
        <f t="shared" si="9"/>
        <v>85.251151824206289</v>
      </c>
      <c r="K31" s="17">
        <f t="shared" si="9"/>
        <v>90.048346803218124</v>
      </c>
      <c r="L31" s="17">
        <f t="shared" si="9"/>
        <v>95</v>
      </c>
      <c r="M31" s="17">
        <f t="shared" si="9"/>
        <v>99.951653196781876</v>
      </c>
      <c r="N31" s="17">
        <f t="shared" si="9"/>
        <v>104.74884817579371</v>
      </c>
      <c r="O31" s="17">
        <f t="shared" si="9"/>
        <v>109.25143055744159</v>
      </c>
      <c r="P31" s="17">
        <f t="shared" si="9"/>
        <v>113.34566874072355</v>
      </c>
      <c r="Q31" s="17">
        <f t="shared" si="9"/>
        <v>116.95246548702885</v>
      </c>
      <c r="R31" s="17">
        <f t="shared" si="9"/>
        <v>120.03074000960436</v>
      </c>
      <c r="S31" s="17">
        <f t="shared" si="9"/>
        <v>122.57598810947977</v>
      </c>
      <c r="T31" s="17">
        <f t="shared" si="9"/>
        <v>124.61486014485558</v>
      </c>
      <c r="U31" s="17">
        <f t="shared" si="9"/>
        <v>126.19715298999303</v>
      </c>
      <c r="V31" s="17">
        <f t="shared" si="9"/>
        <v>127.38680728738709</v>
      </c>
      <c r="W31" s="17">
        <f t="shared" si="9"/>
        <v>128.25335339683477</v>
      </c>
      <c r="X31" s="17">
        <f t="shared" si="9"/>
        <v>128.86485771024283</v>
      </c>
      <c r="Y31" s="17">
        <f t="shared" si="9"/>
        <v>129.28292316410972</v>
      </c>
      <c r="Z31" s="17">
        <f t="shared" si="9"/>
        <v>129.55982504404341</v>
      </c>
      <c r="AA31" s="17">
        <f t="shared" si="9"/>
        <v>129.73750741669807</v>
      </c>
      <c r="AB31" s="17">
        <f t="shared" si="9"/>
        <v>129.84796602140324</v>
      </c>
      <c r="AC31" s="17">
        <f t="shared" si="9"/>
        <v>129.91449203104938</v>
      </c>
      <c r="AD31" s="17">
        <f t="shared" si="9"/>
        <v>129.95330885979669</v>
      </c>
      <c r="AE31" s="17">
        <f t="shared" si="9"/>
        <v>129.97525131514524</v>
      </c>
      <c r="AF31" s="17">
        <f t="shared" si="9"/>
        <v>129.98726806234987</v>
      </c>
      <c r="AG31" s="17">
        <f t="shared" si="9"/>
        <v>129.99364372146863</v>
      </c>
      <c r="AH31" s="17">
        <f t="shared" si="9"/>
        <v>129.99692089654948</v>
      </c>
      <c r="AI31" s="17">
        <f t="shared" si="9"/>
        <v>129.99855286032724</v>
      </c>
      <c r="AJ31" s="17">
        <f t="shared" si="9"/>
        <v>129.99934019182291</v>
      </c>
      <c r="AK31" s="17">
        <f t="shared" si="9"/>
        <v>129.99970818595366</v>
      </c>
      <c r="AL31" s="17">
        <f t="shared" si="9"/>
        <v>129.99987481865401</v>
      </c>
      <c r="AM31" s="17">
        <f t="shared" si="9"/>
        <v>129.99994791834789</v>
      </c>
      <c r="AN31" s="17">
        <f t="shared" si="9"/>
        <v>129.99997898588165</v>
      </c>
      <c r="AO31" s="17">
        <f t="shared" si="9"/>
        <v>129.9999917777447</v>
      </c>
      <c r="AP31" s="17">
        <f t="shared" si="9"/>
        <v>129.99999688040347</v>
      </c>
      <c r="AQ31" s="17">
        <f t="shared" si="9"/>
        <v>129.99999885234877</v>
      </c>
      <c r="AR31" s="17">
        <f t="shared" si="9"/>
        <v>129.99999959064166</v>
      </c>
      <c r="AS31" s="17">
        <f t="shared" si="9"/>
        <v>129.99999985843385</v>
      </c>
      <c r="AT31" s="17">
        <f t="shared" si="9"/>
        <v>129.99999995253663</v>
      </c>
      <c r="AU31" s="17">
        <f t="shared" si="9"/>
        <v>129.99999998457292</v>
      </c>
      <c r="AV31" s="17">
        <f t="shared" si="9"/>
        <v>129.99999999513906</v>
      </c>
      <c r="AW31" s="17">
        <f t="shared" si="9"/>
        <v>129.99999999851528</v>
      </c>
      <c r="AX31" s="17">
        <f t="shared" si="9"/>
        <v>129.9999999995604</v>
      </c>
      <c r="AY31" s="17">
        <f t="shared" si="9"/>
        <v>129.99999999987384</v>
      </c>
      <c r="AZ31" s="17">
        <f t="shared" si="9"/>
        <v>129.9999999999649</v>
      </c>
      <c r="BA31" s="17">
        <f t="shared" si="9"/>
        <v>129.99999999999051</v>
      </c>
      <c r="BB31" s="17">
        <f t="shared" si="9"/>
        <v>129.99999999999756</v>
      </c>
      <c r="BC31" s="17">
        <f t="shared" si="9"/>
        <v>129.99999999999937</v>
      </c>
      <c r="BD31" s="17">
        <f t="shared" si="9"/>
        <v>129.99999999999986</v>
      </c>
      <c r="BE31" s="17">
        <f t="shared" si="9"/>
        <v>129.99999999999994</v>
      </c>
      <c r="BF31" s="17">
        <f t="shared" si="9"/>
        <v>129.99999999999997</v>
      </c>
      <c r="BG31" s="17">
        <f t="shared" si="9"/>
        <v>130</v>
      </c>
      <c r="BH31" s="17">
        <f t="shared" si="9"/>
        <v>130</v>
      </c>
      <c r="BI31" s="17">
        <f t="shared" si="9"/>
        <v>130</v>
      </c>
      <c r="BJ31" s="17">
        <f t="shared" si="9"/>
        <v>130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Grafieken</vt:lpstr>
      </vt:variant>
      <vt:variant>
        <vt:i4>2</vt:i4>
      </vt:variant>
    </vt:vector>
  </HeadingPairs>
  <TitlesOfParts>
    <vt:vector size="5" baseType="lpstr">
      <vt:lpstr>Kenttallen gemeente</vt:lpstr>
      <vt:lpstr>Impact - vervuiling</vt:lpstr>
      <vt:lpstr>Berekeningen impact vervuiling</vt:lpstr>
      <vt:lpstr>Impact op kosten gemeente</vt:lpstr>
      <vt:lpstr>Impact - aandeel verbrand</vt:lpstr>
    </vt:vector>
  </TitlesOfParts>
  <Company>Meerlanden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erik.van.dijk@rhdhv.com</dc:creator>
  <cp:lastModifiedBy>Beer, Manon de (WVL)</cp:lastModifiedBy>
  <cp:lastPrinted>2019-06-19T09:08:57Z</cp:lastPrinted>
  <dcterms:created xsi:type="dcterms:W3CDTF">2017-04-14T07:40:56Z</dcterms:created>
  <dcterms:modified xsi:type="dcterms:W3CDTF">2022-12-20T09:57:54Z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2020-06-15T06:56:04Z</vt:filetime>
  </property>
</Properties>
</file>